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800" yWindow="-15" windowWidth="10845" windowHeight="10170" tabRatio="795"/>
  </bookViews>
  <sheets>
    <sheet name="Input Information" sheetId="2" r:id="rId1"/>
    <sheet name="Total Results" sheetId="5" r:id="rId2"/>
    <sheet name="A-Capital" sheetId="6" r:id="rId3"/>
    <sheet name="B-Overhead" sheetId="9" r:id="rId4"/>
    <sheet name="C-Operational" sheetId="10" r:id="rId5"/>
    <sheet name="Neutron Utilisation-C" sheetId="13" r:id="rId6"/>
    <sheet name="D-Decommissioning" sheetId="7" r:id="rId7"/>
    <sheet name="E-99Mo Specific" sheetId="12" r:id="rId8"/>
  </sheets>
  <calcPr calcId="125725"/>
</workbook>
</file>

<file path=xl/calcChain.xml><?xml version="1.0" encoding="utf-8"?>
<calcChain xmlns="http://schemas.openxmlformats.org/spreadsheetml/2006/main">
  <c r="G37" i="2"/>
  <c r="A2"/>
  <c r="I57"/>
  <c r="G57" l="1"/>
  <c r="G44"/>
  <c r="E16" i="5"/>
  <c r="B46" i="12"/>
  <c r="B27" i="7"/>
  <c r="E8" s="1"/>
  <c r="B38" i="10"/>
  <c r="B33" i="9"/>
  <c r="D30" s="1"/>
  <c r="B63" i="6"/>
  <c r="E60" s="1"/>
  <c r="B28" i="5"/>
  <c r="D25" s="1"/>
  <c r="E8" i="10" l="1"/>
  <c r="E24"/>
  <c r="E33" i="12"/>
  <c r="E8"/>
  <c r="D35" i="10"/>
  <c r="E43" i="12"/>
  <c r="E8" i="9"/>
  <c r="E24" i="7"/>
  <c r="B21" i="5"/>
  <c r="E35" i="13"/>
  <c r="E34"/>
  <c r="E33"/>
  <c r="E32"/>
  <c r="E31"/>
  <c r="E30"/>
  <c r="E29"/>
  <c r="E28"/>
  <c r="D35"/>
  <c r="D34"/>
  <c r="D30"/>
  <c r="D31"/>
  <c r="D32"/>
  <c r="D33"/>
  <c r="D29"/>
  <c r="D28"/>
  <c r="C35"/>
  <c r="C34"/>
  <c r="C33"/>
  <c r="C32"/>
  <c r="C31"/>
  <c r="C30"/>
  <c r="C29"/>
  <c r="C28"/>
  <c r="B35"/>
  <c r="B34"/>
  <c r="B33"/>
  <c r="B32"/>
  <c r="B31"/>
  <c r="B30"/>
  <c r="B29"/>
  <c r="B28"/>
  <c r="F28" s="1"/>
  <c r="G28" s="1"/>
  <c r="C20" i="7"/>
  <c r="C9" i="12"/>
  <c r="C10"/>
  <c r="C11"/>
  <c r="C12"/>
  <c r="C13"/>
  <c r="C14"/>
  <c r="G67" i="2"/>
  <c r="C8" i="12" s="1"/>
  <c r="C8" i="9"/>
  <c r="C10" i="10"/>
  <c r="C11"/>
  <c r="C12"/>
  <c r="C13"/>
  <c r="C14"/>
  <c r="C15"/>
  <c r="C9"/>
  <c r="C30" i="12"/>
  <c r="C28"/>
  <c r="E15" i="5"/>
  <c r="E14"/>
  <c r="C22" i="6"/>
  <c r="C51" s="1"/>
  <c r="C19"/>
  <c r="C42" s="1"/>
  <c r="C16"/>
  <c r="C33" s="1"/>
  <c r="C18"/>
  <c r="C21"/>
  <c r="C15"/>
  <c r="G26" i="2"/>
  <c r="C17" i="6" s="1"/>
  <c r="G30" i="2"/>
  <c r="C20" i="6" s="1"/>
  <c r="G21" i="2"/>
  <c r="C8" i="6"/>
  <c r="E10" i="5"/>
  <c r="C16" i="12"/>
  <c r="C17" i="10"/>
  <c r="C12" i="9"/>
  <c r="C10" i="7"/>
  <c r="C10" i="6"/>
  <c r="E12" i="5"/>
  <c r="E11"/>
  <c r="C15" i="12"/>
  <c r="C16" i="10"/>
  <c r="C11" i="9"/>
  <c r="C9" i="7"/>
  <c r="C9" i="6"/>
  <c r="E36" i="13"/>
  <c r="D36"/>
  <c r="F35"/>
  <c r="G35" s="1"/>
  <c r="F34"/>
  <c r="G34" s="1"/>
  <c r="F33"/>
  <c r="G33" s="1"/>
  <c r="F31"/>
  <c r="G31" s="1"/>
  <c r="F30"/>
  <c r="G30" s="1"/>
  <c r="F29"/>
  <c r="G29" s="1"/>
  <c r="C20"/>
  <c r="D20"/>
  <c r="E20"/>
  <c r="B20"/>
  <c r="F13"/>
  <c r="G13" s="1"/>
  <c r="F14"/>
  <c r="G14" s="1"/>
  <c r="F15"/>
  <c r="G15" s="1"/>
  <c r="F16"/>
  <c r="G16" s="1"/>
  <c r="F17"/>
  <c r="G17" s="1"/>
  <c r="F18"/>
  <c r="G18" s="1"/>
  <c r="F19"/>
  <c r="G19" s="1"/>
  <c r="F12"/>
  <c r="G12" s="1"/>
  <c r="C35" i="12"/>
  <c r="C24" i="10"/>
  <c r="C8"/>
  <c r="C26" i="12"/>
  <c r="C33"/>
  <c r="C37"/>
  <c r="C23"/>
  <c r="C18"/>
  <c r="C17"/>
  <c r="C47"/>
  <c r="C48" s="1"/>
  <c r="C49" s="1"/>
  <c r="C50" s="1"/>
  <c r="C51" s="1"/>
  <c r="C52" s="1"/>
  <c r="C53" s="1"/>
  <c r="C54" s="1"/>
  <c r="C55" s="1"/>
  <c r="C56" s="1"/>
  <c r="C57" s="1"/>
  <c r="C58" s="1"/>
  <c r="C59" s="1"/>
  <c r="C60" s="1"/>
  <c r="C61" s="1"/>
  <c r="C62" s="1"/>
  <c r="C63" s="1"/>
  <c r="C64" s="1"/>
  <c r="C65" s="1"/>
  <c r="C66" s="1"/>
  <c r="C67" s="1"/>
  <c r="C68" s="1"/>
  <c r="C69" s="1"/>
  <c r="C70" s="1"/>
  <c r="C71" s="1"/>
  <c r="C72" s="1"/>
  <c r="C73" s="1"/>
  <c r="C74" s="1"/>
  <c r="C75" s="1"/>
  <c r="C76" s="1"/>
  <c r="C77" s="1"/>
  <c r="C78" s="1"/>
  <c r="C79" s="1"/>
  <c r="C80" s="1"/>
  <c r="C81" s="1"/>
  <c r="C82" s="1"/>
  <c r="C83" s="1"/>
  <c r="C84" s="1"/>
  <c r="C85" s="1"/>
  <c r="C86" s="1"/>
  <c r="B47"/>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C8" i="7"/>
  <c r="C39" i="10"/>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C74" s="1"/>
  <c r="C75" s="1"/>
  <c r="C76" s="1"/>
  <c r="C77" s="1"/>
  <c r="C78" s="1"/>
  <c r="B39"/>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C19"/>
  <c r="C18"/>
  <c r="C22" i="9"/>
  <c r="C10"/>
  <c r="C9"/>
  <c r="C34"/>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B34"/>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C14"/>
  <c r="C13"/>
  <c r="C12" i="7"/>
  <c r="C11"/>
  <c r="C21" s="1"/>
  <c r="C12" i="6"/>
  <c r="C11"/>
  <c r="F82" i="2"/>
  <c r="C19" i="12" s="1"/>
  <c r="B64" i="6"/>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C28" i="7"/>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B28"/>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C64" i="6"/>
  <c r="C65" s="1"/>
  <c r="C66" s="1"/>
  <c r="C67" s="1"/>
  <c r="C68" s="1"/>
  <c r="C69" s="1"/>
  <c r="C70" s="1"/>
  <c r="C71" s="1"/>
  <c r="C72" s="1"/>
  <c r="C73" s="1"/>
  <c r="C74" s="1"/>
  <c r="C75" s="1"/>
  <c r="C76" s="1"/>
  <c r="C77" s="1"/>
  <c r="C78" s="1"/>
  <c r="C79" s="1"/>
  <c r="C80" s="1"/>
  <c r="C81" s="1"/>
  <c r="C82" s="1"/>
  <c r="C83" s="1"/>
  <c r="C84" s="1"/>
  <c r="C85" s="1"/>
  <c r="C86" s="1"/>
  <c r="C87" s="1"/>
  <c r="C88" s="1"/>
  <c r="C89" s="1"/>
  <c r="C90" s="1"/>
  <c r="C91" s="1"/>
  <c r="C92" s="1"/>
  <c r="C93" s="1"/>
  <c r="C94" s="1"/>
  <c r="C95" s="1"/>
  <c r="C96" s="1"/>
  <c r="C97" s="1"/>
  <c r="C98" s="1"/>
  <c r="C99" s="1"/>
  <c r="C100" s="1"/>
  <c r="C101" s="1"/>
  <c r="C102" s="1"/>
  <c r="C103" s="1"/>
  <c r="C38"/>
  <c r="C47" s="1"/>
  <c r="C56" s="1"/>
  <c r="C29" i="5"/>
  <c r="C30" s="1"/>
  <c r="B29"/>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C36" i="13" l="1"/>
  <c r="B36"/>
  <c r="F32"/>
  <c r="G32" s="1"/>
  <c r="F20"/>
  <c r="G20" s="1"/>
  <c r="C52" i="6"/>
  <c r="F31" i="5"/>
  <c r="C43" i="6"/>
  <c r="C34"/>
  <c r="C57"/>
  <c r="C31" i="12" s="1"/>
  <c r="C48" i="6"/>
  <c r="C39"/>
  <c r="C39" i="12"/>
  <c r="F68" i="5"/>
  <c r="F66"/>
  <c r="F64"/>
  <c r="F62"/>
  <c r="F60"/>
  <c r="F58"/>
  <c r="F56"/>
  <c r="F54"/>
  <c r="F52"/>
  <c r="F50"/>
  <c r="F48"/>
  <c r="F46"/>
  <c r="F44"/>
  <c r="F42"/>
  <c r="F40"/>
  <c r="F38"/>
  <c r="F36"/>
  <c r="F34"/>
  <c r="F32"/>
  <c r="F30"/>
  <c r="C30" i="6"/>
  <c r="F29" i="5"/>
  <c r="F67"/>
  <c r="F65"/>
  <c r="F63"/>
  <c r="F61"/>
  <c r="F59"/>
  <c r="F57"/>
  <c r="F55"/>
  <c r="F53"/>
  <c r="F51"/>
  <c r="F49"/>
  <c r="F47"/>
  <c r="F45"/>
  <c r="F43"/>
  <c r="F41"/>
  <c r="F39"/>
  <c r="F37"/>
  <c r="F35"/>
  <c r="F33"/>
  <c r="C53" i="6"/>
  <c r="C44"/>
  <c r="C27" i="10"/>
  <c r="C29" i="12"/>
  <c r="C27"/>
  <c r="C13" i="7"/>
  <c r="C14" s="1"/>
  <c r="C15" i="9"/>
  <c r="C20" i="10"/>
  <c r="E13" i="5"/>
  <c r="C13" i="6"/>
  <c r="C24" i="12"/>
  <c r="C38"/>
  <c r="C31" i="5"/>
  <c r="C31" i="10" l="1"/>
  <c r="G101" i="6"/>
  <c r="D101" s="1"/>
  <c r="G78"/>
  <c r="F36" i="13"/>
  <c r="G36" s="1"/>
  <c r="D37" s="1"/>
  <c r="G70" i="6"/>
  <c r="D70" s="1"/>
  <c r="G74"/>
  <c r="G82"/>
  <c r="G86"/>
  <c r="D86" s="1"/>
  <c r="G90"/>
  <c r="D90" s="1"/>
  <c r="G94"/>
  <c r="D94" s="1"/>
  <c r="G98"/>
  <c r="D98" s="1"/>
  <c r="G102"/>
  <c r="D102" s="1"/>
  <c r="G67"/>
  <c r="D67" s="1"/>
  <c r="E67" s="1"/>
  <c r="F67" s="1"/>
  <c r="G71"/>
  <c r="D71" s="1"/>
  <c r="E71" s="1"/>
  <c r="F71" s="1"/>
  <c r="G75"/>
  <c r="G79"/>
  <c r="G83"/>
  <c r="G87"/>
  <c r="D87" s="1"/>
  <c r="G91"/>
  <c r="D91" s="1"/>
  <c r="G95"/>
  <c r="D95" s="1"/>
  <c r="G99"/>
  <c r="D99" s="1"/>
  <c r="G103"/>
  <c r="D103" s="1"/>
  <c r="G66"/>
  <c r="D66" s="1"/>
  <c r="E66" s="1"/>
  <c r="F66" s="1"/>
  <c r="G68"/>
  <c r="D68" s="1"/>
  <c r="E68" s="1"/>
  <c r="F68" s="1"/>
  <c r="G72"/>
  <c r="D72" s="1"/>
  <c r="E72" s="1"/>
  <c r="G76"/>
  <c r="G80"/>
  <c r="G84"/>
  <c r="D84" s="1"/>
  <c r="G88"/>
  <c r="D88" s="1"/>
  <c r="G92"/>
  <c r="D92" s="1"/>
  <c r="G96"/>
  <c r="D96" s="1"/>
  <c r="G100"/>
  <c r="D100" s="1"/>
  <c r="G64"/>
  <c r="D64" s="1"/>
  <c r="E64" s="1"/>
  <c r="F64" s="1"/>
  <c r="G65"/>
  <c r="D65" s="1"/>
  <c r="E65" s="1"/>
  <c r="F65" s="1"/>
  <c r="G69"/>
  <c r="D69" s="1"/>
  <c r="E69" s="1"/>
  <c r="F69" s="1"/>
  <c r="G73"/>
  <c r="D73" s="1"/>
  <c r="G77"/>
  <c r="G81"/>
  <c r="G85"/>
  <c r="D85" s="1"/>
  <c r="G89"/>
  <c r="D89" s="1"/>
  <c r="G93"/>
  <c r="D93" s="1"/>
  <c r="G97"/>
  <c r="D97" s="1"/>
  <c r="D28" i="7"/>
  <c r="E28" s="1"/>
  <c r="F28" s="1"/>
  <c r="D42"/>
  <c r="E42" s="1"/>
  <c r="D58"/>
  <c r="E58" s="1"/>
  <c r="D33"/>
  <c r="E33" s="1"/>
  <c r="D49"/>
  <c r="E49" s="1"/>
  <c r="F49" s="1"/>
  <c r="D61"/>
  <c r="E61" s="1"/>
  <c r="F61" s="1"/>
  <c r="D34"/>
  <c r="E34" s="1"/>
  <c r="F34" s="1"/>
  <c r="D50"/>
  <c r="E50" s="1"/>
  <c r="D66"/>
  <c r="E66" s="1"/>
  <c r="D41"/>
  <c r="E41" s="1"/>
  <c r="D57"/>
  <c r="E57" s="1"/>
  <c r="F57" s="1"/>
  <c r="D65"/>
  <c r="E65" s="1"/>
  <c r="D32"/>
  <c r="E32" s="1"/>
  <c r="F32" s="1"/>
  <c r="D53"/>
  <c r="E53" s="1"/>
  <c r="D45"/>
  <c r="E45" s="1"/>
  <c r="F45" s="1"/>
  <c r="D37"/>
  <c r="E37" s="1"/>
  <c r="F37" s="1"/>
  <c r="D29"/>
  <c r="E29" s="1"/>
  <c r="F29" s="1"/>
  <c r="D62"/>
  <c r="E62" s="1"/>
  <c r="D54"/>
  <c r="E54" s="1"/>
  <c r="F54" s="1"/>
  <c r="D46"/>
  <c r="E46" s="1"/>
  <c r="F46" s="1"/>
  <c r="D38"/>
  <c r="E38" s="1"/>
  <c r="F38" s="1"/>
  <c r="D30"/>
  <c r="E30" s="1"/>
  <c r="C26" i="9"/>
  <c r="E70" i="6"/>
  <c r="F70" s="1"/>
  <c r="E73"/>
  <c r="F73" s="1"/>
  <c r="F26" i="5"/>
  <c r="D67" i="7"/>
  <c r="E67" s="1"/>
  <c r="F67" s="1"/>
  <c r="D63"/>
  <c r="E63" s="1"/>
  <c r="F63" s="1"/>
  <c r="D59"/>
  <c r="E59" s="1"/>
  <c r="F59" s="1"/>
  <c r="D55"/>
  <c r="E55" s="1"/>
  <c r="F55" s="1"/>
  <c r="D51"/>
  <c r="E51" s="1"/>
  <c r="F51" s="1"/>
  <c r="D47"/>
  <c r="E47" s="1"/>
  <c r="F47" s="1"/>
  <c r="D43"/>
  <c r="E43" s="1"/>
  <c r="F43" s="1"/>
  <c r="D39"/>
  <c r="E39" s="1"/>
  <c r="F39" s="1"/>
  <c r="D35"/>
  <c r="E35" s="1"/>
  <c r="F35" s="1"/>
  <c r="D31"/>
  <c r="E31" s="1"/>
  <c r="F31" s="1"/>
  <c r="D64"/>
  <c r="E64" s="1"/>
  <c r="F64" s="1"/>
  <c r="D60"/>
  <c r="E60" s="1"/>
  <c r="F60" s="1"/>
  <c r="D56"/>
  <c r="E56" s="1"/>
  <c r="F56" s="1"/>
  <c r="D52"/>
  <c r="E52" s="1"/>
  <c r="F52" s="1"/>
  <c r="D48"/>
  <c r="E48" s="1"/>
  <c r="F48" s="1"/>
  <c r="D44"/>
  <c r="E44" s="1"/>
  <c r="F44" s="1"/>
  <c r="D40"/>
  <c r="E40" s="1"/>
  <c r="F40" s="1"/>
  <c r="D36"/>
  <c r="E36" s="1"/>
  <c r="F36" s="1"/>
  <c r="D49" i="12"/>
  <c r="E49" s="1"/>
  <c r="F49" s="1"/>
  <c r="D51"/>
  <c r="E51" s="1"/>
  <c r="F51" s="1"/>
  <c r="D53"/>
  <c r="E53" s="1"/>
  <c r="F53" s="1"/>
  <c r="D55"/>
  <c r="D57"/>
  <c r="E57" s="1"/>
  <c r="F57" s="1"/>
  <c r="D59"/>
  <c r="D61"/>
  <c r="E61" s="1"/>
  <c r="F61" s="1"/>
  <c r="D63"/>
  <c r="D65"/>
  <c r="E65" s="1"/>
  <c r="F65" s="1"/>
  <c r="D67"/>
  <c r="E67" s="1"/>
  <c r="F67" s="1"/>
  <c r="D69"/>
  <c r="E69" s="1"/>
  <c r="F69" s="1"/>
  <c r="D71"/>
  <c r="D73"/>
  <c r="E73" s="1"/>
  <c r="F73" s="1"/>
  <c r="D75"/>
  <c r="E75" s="1"/>
  <c r="F75" s="1"/>
  <c r="D77"/>
  <c r="E77" s="1"/>
  <c r="F77" s="1"/>
  <c r="D79"/>
  <c r="D81"/>
  <c r="E81" s="1"/>
  <c r="F81" s="1"/>
  <c r="D83"/>
  <c r="D85"/>
  <c r="E85" s="1"/>
  <c r="F85" s="1"/>
  <c r="D47"/>
  <c r="D48"/>
  <c r="E48" s="1"/>
  <c r="F48" s="1"/>
  <c r="D50"/>
  <c r="D52"/>
  <c r="E52" s="1"/>
  <c r="F52" s="1"/>
  <c r="D54"/>
  <c r="D56"/>
  <c r="E56" s="1"/>
  <c r="F56" s="1"/>
  <c r="D58"/>
  <c r="E58" s="1"/>
  <c r="F58" s="1"/>
  <c r="D60"/>
  <c r="E60" s="1"/>
  <c r="F60" s="1"/>
  <c r="D62"/>
  <c r="D64"/>
  <c r="E64" s="1"/>
  <c r="F64" s="1"/>
  <c r="D66"/>
  <c r="D68"/>
  <c r="E68" s="1"/>
  <c r="F68" s="1"/>
  <c r="D70"/>
  <c r="D72"/>
  <c r="E72" s="1"/>
  <c r="F72" s="1"/>
  <c r="D74"/>
  <c r="E74" s="1"/>
  <c r="F74" s="1"/>
  <c r="D76"/>
  <c r="E76" s="1"/>
  <c r="F76" s="1"/>
  <c r="D78"/>
  <c r="D80"/>
  <c r="E80" s="1"/>
  <c r="F80" s="1"/>
  <c r="D82"/>
  <c r="D84"/>
  <c r="E84" s="1"/>
  <c r="F84" s="1"/>
  <c r="D86"/>
  <c r="E94" i="6"/>
  <c r="E59" i="12"/>
  <c r="F59" s="1"/>
  <c r="E63"/>
  <c r="F63" s="1"/>
  <c r="E79"/>
  <c r="F79" s="1"/>
  <c r="E83"/>
  <c r="F83" s="1"/>
  <c r="E47"/>
  <c r="F47" s="1"/>
  <c r="F65" i="7"/>
  <c r="F53"/>
  <c r="F41"/>
  <c r="F33"/>
  <c r="F66"/>
  <c r="F62"/>
  <c r="F58"/>
  <c r="F50"/>
  <c r="F42"/>
  <c r="F30"/>
  <c r="G31" i="5"/>
  <c r="G29"/>
  <c r="G30"/>
  <c r="F72" i="6"/>
  <c r="E50" i="12"/>
  <c r="F50" s="1"/>
  <c r="E54"/>
  <c r="F54" s="1"/>
  <c r="E62"/>
  <c r="F62" s="1"/>
  <c r="E66"/>
  <c r="F66" s="1"/>
  <c r="E70"/>
  <c r="F70" s="1"/>
  <c r="E78"/>
  <c r="F78" s="1"/>
  <c r="E82"/>
  <c r="F82" s="1"/>
  <c r="E86"/>
  <c r="F86" s="1"/>
  <c r="E55"/>
  <c r="F55" s="1"/>
  <c r="E71"/>
  <c r="F71" s="1"/>
  <c r="C32" i="5"/>
  <c r="G32" s="1"/>
  <c r="C37" i="13" l="1"/>
  <c r="B37"/>
  <c r="C30" i="10"/>
  <c r="G37" i="13"/>
  <c r="F25" i="7"/>
  <c r="F44" i="12"/>
  <c r="C33" i="5"/>
  <c r="G33" s="1"/>
  <c r="C32" i="10" l="1"/>
  <c r="D49" s="1"/>
  <c r="E49" s="1"/>
  <c r="C27" i="9"/>
  <c r="D48" i="10"/>
  <c r="E48" s="1"/>
  <c r="D41"/>
  <c r="E41" s="1"/>
  <c r="D44"/>
  <c r="E44" s="1"/>
  <c r="D60"/>
  <c r="E60" s="1"/>
  <c r="D76"/>
  <c r="E76" s="1"/>
  <c r="D53"/>
  <c r="E53" s="1"/>
  <c r="D69"/>
  <c r="E69" s="1"/>
  <c r="D46"/>
  <c r="E46" s="1"/>
  <c r="D54"/>
  <c r="E54" s="1"/>
  <c r="D62"/>
  <c r="E62" s="1"/>
  <c r="D70"/>
  <c r="E70" s="1"/>
  <c r="D78"/>
  <c r="E78" s="1"/>
  <c r="D47"/>
  <c r="E47" s="1"/>
  <c r="D55"/>
  <c r="E55" s="1"/>
  <c r="D63"/>
  <c r="E63" s="1"/>
  <c r="D71"/>
  <c r="E71" s="1"/>
  <c r="D39"/>
  <c r="D56"/>
  <c r="E56" s="1"/>
  <c r="D64"/>
  <c r="E64" s="1"/>
  <c r="D57"/>
  <c r="E57" s="1"/>
  <c r="D65"/>
  <c r="E65" s="1"/>
  <c r="D52"/>
  <c r="E52" s="1"/>
  <c r="D68"/>
  <c r="E68" s="1"/>
  <c r="D45"/>
  <c r="E45" s="1"/>
  <c r="D61"/>
  <c r="E61" s="1"/>
  <c r="D77"/>
  <c r="E77" s="1"/>
  <c r="D42"/>
  <c r="E42" s="1"/>
  <c r="D50"/>
  <c r="E50" s="1"/>
  <c r="D58"/>
  <c r="E58" s="1"/>
  <c r="D66"/>
  <c r="E66" s="1"/>
  <c r="D74"/>
  <c r="E74" s="1"/>
  <c r="D43"/>
  <c r="E43" s="1"/>
  <c r="D51"/>
  <c r="E51" s="1"/>
  <c r="D59"/>
  <c r="E59" s="1"/>
  <c r="D67"/>
  <c r="E67" s="1"/>
  <c r="D75"/>
  <c r="E75" s="1"/>
  <c r="C34" i="5"/>
  <c r="G34" s="1"/>
  <c r="D40" i="10" l="1"/>
  <c r="E40" s="1"/>
  <c r="D72"/>
  <c r="E72" s="1"/>
  <c r="D73"/>
  <c r="E73" s="1"/>
  <c r="E39"/>
  <c r="E36" s="1"/>
  <c r="D36"/>
  <c r="D70" i="9"/>
  <c r="E70" s="1"/>
  <c r="D62"/>
  <c r="E62" s="1"/>
  <c r="D54"/>
  <c r="E54" s="1"/>
  <c r="D46"/>
  <c r="E46" s="1"/>
  <c r="D38"/>
  <c r="D69"/>
  <c r="E69" s="1"/>
  <c r="D61"/>
  <c r="E61" s="1"/>
  <c r="D53"/>
  <c r="E53" s="1"/>
  <c r="D45"/>
  <c r="E45" s="1"/>
  <c r="D37"/>
  <c r="D66"/>
  <c r="E66" s="1"/>
  <c r="D58"/>
  <c r="E58" s="1"/>
  <c r="D50"/>
  <c r="E50" s="1"/>
  <c r="D42"/>
  <c r="D73"/>
  <c r="E73" s="1"/>
  <c r="D65"/>
  <c r="E65" s="1"/>
  <c r="D57"/>
  <c r="E57" s="1"/>
  <c r="D49"/>
  <c r="E49" s="1"/>
  <c r="D41"/>
  <c r="D43"/>
  <c r="D52"/>
  <c r="E52" s="1"/>
  <c r="D51"/>
  <c r="E51" s="1"/>
  <c r="D44"/>
  <c r="E44" s="1"/>
  <c r="D47"/>
  <c r="E47" s="1"/>
  <c r="D40"/>
  <c r="D71"/>
  <c r="E71" s="1"/>
  <c r="D64"/>
  <c r="E64" s="1"/>
  <c r="D34"/>
  <c r="D68"/>
  <c r="E68" s="1"/>
  <c r="D36"/>
  <c r="D59"/>
  <c r="E59" s="1"/>
  <c r="D35"/>
  <c r="D67"/>
  <c r="E67" s="1"/>
  <c r="D60"/>
  <c r="E60" s="1"/>
  <c r="D63"/>
  <c r="E63" s="1"/>
  <c r="D72"/>
  <c r="E72" s="1"/>
  <c r="D55"/>
  <c r="E55" s="1"/>
  <c r="D48"/>
  <c r="E48" s="1"/>
  <c r="D56"/>
  <c r="E56" s="1"/>
  <c r="D39"/>
  <c r="C35" i="5"/>
  <c r="G35" s="1"/>
  <c r="E40" i="9" l="1"/>
  <c r="D35" i="5"/>
  <c r="E35" s="1"/>
  <c r="E41" i="9"/>
  <c r="D36" i="5"/>
  <c r="E38" i="9"/>
  <c r="D33" i="5"/>
  <c r="E33" s="1"/>
  <c r="E39" i="9"/>
  <c r="D34" i="5"/>
  <c r="E34" s="1"/>
  <c r="E35" i="9"/>
  <c r="D30" i="5"/>
  <c r="E30" s="1"/>
  <c r="E36" i="9"/>
  <c r="D31" i="5"/>
  <c r="E31" s="1"/>
  <c r="D29"/>
  <c r="E34" i="9"/>
  <c r="D31"/>
  <c r="E43"/>
  <c r="D38" i="5"/>
  <c r="E42" i="9"/>
  <c r="D37" i="5"/>
  <c r="E37" i="9"/>
  <c r="D32" i="5"/>
  <c r="E32" s="1"/>
  <c r="C36"/>
  <c r="G36" s="1"/>
  <c r="E36" l="1"/>
  <c r="E29"/>
  <c r="E31" i="9"/>
  <c r="C37" i="5"/>
  <c r="G37" s="1"/>
  <c r="E37" l="1"/>
  <c r="C38"/>
  <c r="G38" l="1"/>
  <c r="E38"/>
  <c r="C39"/>
  <c r="G39" s="1"/>
  <c r="C40" l="1"/>
  <c r="G40" s="1"/>
  <c r="C41" l="1"/>
  <c r="G41" s="1"/>
  <c r="C42" l="1"/>
  <c r="G42" s="1"/>
  <c r="C43" l="1"/>
  <c r="G43" s="1"/>
  <c r="C44" l="1"/>
  <c r="G44" s="1"/>
  <c r="C45" l="1"/>
  <c r="G45" s="1"/>
  <c r="C46" l="1"/>
  <c r="G46" s="1"/>
  <c r="C47" l="1"/>
  <c r="G47" s="1"/>
  <c r="C48" l="1"/>
  <c r="G48" s="1"/>
  <c r="C49" l="1"/>
  <c r="G49" s="1"/>
  <c r="C50" l="1"/>
  <c r="G50" s="1"/>
  <c r="C51" l="1"/>
  <c r="G51" s="1"/>
  <c r="C52" l="1"/>
  <c r="G52" s="1"/>
  <c r="C53" l="1"/>
  <c r="G53" s="1"/>
  <c r="C54" l="1"/>
  <c r="G54" s="1"/>
  <c r="C55" l="1"/>
  <c r="G55" s="1"/>
  <c r="C56" l="1"/>
  <c r="G56" s="1"/>
  <c r="C57" l="1"/>
  <c r="G57" s="1"/>
  <c r="C58" l="1"/>
  <c r="G58" s="1"/>
  <c r="C59" l="1"/>
  <c r="G59" s="1"/>
  <c r="C60" l="1"/>
  <c r="G60" s="1"/>
  <c r="C61" l="1"/>
  <c r="G61" s="1"/>
  <c r="C62" l="1"/>
  <c r="G62" s="1"/>
  <c r="C63" l="1"/>
  <c r="G63" s="1"/>
  <c r="C64" l="1"/>
  <c r="G64" s="1"/>
  <c r="C65" l="1"/>
  <c r="G65" s="1"/>
  <c r="C66" l="1"/>
  <c r="G66" s="1"/>
  <c r="C67" l="1"/>
  <c r="G67" s="1"/>
  <c r="C68" l="1"/>
  <c r="G68" s="1"/>
  <c r="G26" l="1"/>
  <c r="C14" i="6" l="1"/>
  <c r="C35" s="1"/>
  <c r="D78" l="1"/>
  <c r="E78" s="1"/>
  <c r="F78" s="1"/>
  <c r="D80"/>
  <c r="E80" s="1"/>
  <c r="D75"/>
  <c r="E75" s="1"/>
  <c r="D81"/>
  <c r="E81" s="1"/>
  <c r="D79"/>
  <c r="E79" s="1"/>
  <c r="F79" s="1"/>
  <c r="D77"/>
  <c r="E77" s="1"/>
  <c r="F77" s="1"/>
  <c r="D83"/>
  <c r="D82"/>
  <c r="D76"/>
  <c r="E76" s="1"/>
  <c r="D74"/>
  <c r="E74" s="1"/>
  <c r="E83"/>
  <c r="E82"/>
  <c r="E92"/>
  <c r="D57" i="5" s="1"/>
  <c r="E57" s="1"/>
  <c r="E91" i="6"/>
  <c r="D56" i="5" s="1"/>
  <c r="E56" s="1"/>
  <c r="E90" i="6"/>
  <c r="F90" s="1"/>
  <c r="E93"/>
  <c r="F93" s="1"/>
  <c r="E97"/>
  <c r="F97" s="1"/>
  <c r="E84"/>
  <c r="F84" s="1"/>
  <c r="E100"/>
  <c r="D65" i="5" s="1"/>
  <c r="E65" s="1"/>
  <c r="E99" i="6"/>
  <c r="F99" s="1"/>
  <c r="E98"/>
  <c r="F98" s="1"/>
  <c r="E85"/>
  <c r="F85" s="1"/>
  <c r="E101"/>
  <c r="D66" i="5" s="1"/>
  <c r="E66" s="1"/>
  <c r="E88" i="6"/>
  <c r="F88" s="1"/>
  <c r="E96"/>
  <c r="F96" s="1"/>
  <c r="E87"/>
  <c r="D52" i="5" s="1"/>
  <c r="E52" s="1"/>
  <c r="E95" i="6"/>
  <c r="F95" s="1"/>
  <c r="E103"/>
  <c r="D68" i="5" s="1"/>
  <c r="E68" s="1"/>
  <c r="E86" i="6"/>
  <c r="F86" s="1"/>
  <c r="F94"/>
  <c r="E102"/>
  <c r="D67" i="5" s="1"/>
  <c r="E67" s="1"/>
  <c r="E89" i="6"/>
  <c r="D54" i="5" s="1"/>
  <c r="E54" s="1"/>
  <c r="D64" l="1"/>
  <c r="E64" s="1"/>
  <c r="F87" i="6"/>
  <c r="D62" i="5"/>
  <c r="E62" s="1"/>
  <c r="D58"/>
  <c r="E58" s="1"/>
  <c r="F91" i="6"/>
  <c r="D53" i="5"/>
  <c r="E53" s="1"/>
  <c r="F76" i="6"/>
  <c r="D41" i="5"/>
  <c r="E41" s="1"/>
  <c r="D40"/>
  <c r="E40" s="1"/>
  <c r="F75" i="6"/>
  <c r="D55" i="5"/>
  <c r="E55" s="1"/>
  <c r="D44"/>
  <c r="E44" s="1"/>
  <c r="D42"/>
  <c r="E42" s="1"/>
  <c r="F100" i="6"/>
  <c r="D46" i="5"/>
  <c r="E46" s="1"/>
  <c r="F81" i="6"/>
  <c r="F80"/>
  <c r="D45" i="5"/>
  <c r="E45" s="1"/>
  <c r="F82" i="6"/>
  <c r="D47" i="5"/>
  <c r="E47" s="1"/>
  <c r="F83" i="6"/>
  <c r="D48" i="5"/>
  <c r="E48" s="1"/>
  <c r="F92" i="6"/>
  <c r="F103"/>
  <c r="F102"/>
  <c r="D51" i="5"/>
  <c r="E51" s="1"/>
  <c r="D63"/>
  <c r="E63" s="1"/>
  <c r="F101" i="6"/>
  <c r="D59" i="5"/>
  <c r="E59" s="1"/>
  <c r="F89" i="6"/>
  <c r="D61"/>
  <c r="D60" i="5"/>
  <c r="E60" s="1"/>
  <c r="D61"/>
  <c r="E61" s="1"/>
  <c r="D50"/>
  <c r="E50" s="1"/>
  <c r="D43"/>
  <c r="E43" s="1"/>
  <c r="D49"/>
  <c r="E49" s="1"/>
  <c r="F74" i="6"/>
  <c r="D39" i="5"/>
  <c r="E61" i="6"/>
  <c r="D26" i="5" l="1"/>
  <c r="D21" s="1"/>
  <c r="F61" i="6"/>
  <c r="E39" i="5"/>
  <c r="E26" s="1"/>
  <c r="D19" s="1"/>
</calcChain>
</file>

<file path=xl/sharedStrings.xml><?xml version="1.0" encoding="utf-8"?>
<sst xmlns="http://schemas.openxmlformats.org/spreadsheetml/2006/main" count="449" uniqueCount="293">
  <si>
    <t>Year from Comm</t>
  </si>
  <si>
    <t>Generation of Mo-99 (EOP)</t>
  </si>
  <si>
    <t>Generation (discounted to Comm)</t>
  </si>
  <si>
    <t>Totals</t>
  </si>
  <si>
    <t>A: Capital Costs</t>
  </si>
  <si>
    <t>B: General Overhead Costs of the Entire Site</t>
  </si>
  <si>
    <t>C: General Operational Costs of the Reactor</t>
  </si>
  <si>
    <t>D: Decommissioning</t>
  </si>
  <si>
    <t>General Administration Services</t>
  </si>
  <si>
    <t>Site Infrastructure Support</t>
  </si>
  <si>
    <t>Reactor Staff</t>
  </si>
  <si>
    <t>Reactor Fuel/General Consumables</t>
  </si>
  <si>
    <t>Utilities</t>
  </si>
  <si>
    <t>Waste Management</t>
  </si>
  <si>
    <t>Licensing and Regulatory Costs</t>
  </si>
  <si>
    <t>Security</t>
  </si>
  <si>
    <t>Irradiation Devices</t>
  </si>
  <si>
    <t>Handling of Irradiation Targets</t>
  </si>
  <si>
    <t>Specific Administration Costs</t>
  </si>
  <si>
    <t>Ex-Works Truck Loaded</t>
  </si>
  <si>
    <t>Cost Items</t>
  </si>
  <si>
    <t>First Glance</t>
  </si>
  <si>
    <t>Comments</t>
  </si>
  <si>
    <t>Methodology Questions:</t>
  </si>
  <si>
    <t>Variable</t>
  </si>
  <si>
    <r>
      <t>A</t>
    </r>
    <r>
      <rPr>
        <vertAlign val="subscript"/>
        <sz val="11"/>
        <color theme="1"/>
        <rFont val="Calibri"/>
        <family val="2"/>
        <scheme val="minor"/>
      </rPr>
      <t>1</t>
    </r>
  </si>
  <si>
    <r>
      <t>w</t>
    </r>
    <r>
      <rPr>
        <vertAlign val="subscript"/>
        <sz val="11"/>
        <color theme="1"/>
        <rFont val="Calibri"/>
        <family val="2"/>
        <scheme val="minor"/>
      </rPr>
      <t>1</t>
    </r>
  </si>
  <si>
    <r>
      <t>1. What is the percentage of ancillary equipment and related infrastructure is clearly attributable to specific missions</t>
    </r>
    <r>
      <rPr>
        <sz val="11"/>
        <color theme="1"/>
        <rFont val="Calibri"/>
        <family val="2"/>
        <scheme val="minor"/>
      </rPr>
      <t>?</t>
    </r>
  </si>
  <si>
    <r>
      <t>2. Of w</t>
    </r>
    <r>
      <rPr>
        <vertAlign val="subscript"/>
        <sz val="11"/>
        <color theme="1"/>
        <rFont val="Calibri"/>
        <family val="2"/>
        <scheme val="minor"/>
      </rPr>
      <t>1</t>
    </r>
    <r>
      <rPr>
        <sz val="11"/>
        <color theme="1"/>
        <rFont val="Calibri"/>
        <family val="2"/>
        <scheme val="minor"/>
      </rPr>
      <t xml:space="preserve">, what value is clearly attributable to </t>
    </r>
    <r>
      <rPr>
        <vertAlign val="superscript"/>
        <sz val="11"/>
        <color theme="1"/>
        <rFont val="Calibri"/>
        <family val="2"/>
        <scheme val="minor"/>
      </rPr>
      <t>99</t>
    </r>
    <r>
      <rPr>
        <sz val="11"/>
        <color theme="1"/>
        <rFont val="Calibri"/>
        <family val="2"/>
        <scheme val="minor"/>
      </rPr>
      <t xml:space="preserve">Mo production? </t>
    </r>
  </si>
  <si>
    <t>Move to E</t>
  </si>
  <si>
    <r>
      <t xml:space="preserve">3. What is the percentage (estimated) of reactor and facility usage that is for irradiation and handling of </t>
    </r>
    <r>
      <rPr>
        <vertAlign val="superscript"/>
        <sz val="11"/>
        <color theme="1"/>
        <rFont val="Calibri"/>
        <family val="2"/>
        <scheme val="minor"/>
      </rPr>
      <t>99</t>
    </r>
    <r>
      <rPr>
        <sz val="11"/>
        <color theme="1"/>
        <rFont val="Calibri"/>
        <family val="2"/>
        <scheme val="minor"/>
      </rPr>
      <t>Mo targets, based on business activity?</t>
    </r>
  </si>
  <si>
    <r>
      <t xml:space="preserve">Determined by % of total effort of operations related to </t>
    </r>
    <r>
      <rPr>
        <vertAlign val="superscript"/>
        <sz val="11"/>
        <color theme="1"/>
        <rFont val="Calibri"/>
        <family val="2"/>
        <scheme val="minor"/>
      </rPr>
      <t>99</t>
    </r>
    <r>
      <rPr>
        <sz val="11"/>
        <color theme="1"/>
        <rFont val="Calibri"/>
        <family val="2"/>
        <scheme val="minor"/>
      </rPr>
      <t>Mo production based on activity planning of the reactor lifetime</t>
    </r>
  </si>
  <si>
    <r>
      <t>w</t>
    </r>
    <r>
      <rPr>
        <vertAlign val="subscript"/>
        <sz val="11"/>
        <color theme="1"/>
        <rFont val="Calibri"/>
        <family val="2"/>
        <scheme val="minor"/>
      </rPr>
      <t>2</t>
    </r>
  </si>
  <si>
    <r>
      <t>w</t>
    </r>
    <r>
      <rPr>
        <vertAlign val="subscript"/>
        <sz val="11"/>
        <color theme="1"/>
        <rFont val="Calibri"/>
        <family val="2"/>
        <scheme val="minor"/>
      </rPr>
      <t>3</t>
    </r>
  </si>
  <si>
    <t>Initial Infrastructure</t>
  </si>
  <si>
    <t>First Glance Costs and Information</t>
  </si>
  <si>
    <t>Amortisation Period - Reactor</t>
  </si>
  <si>
    <t>years</t>
  </si>
  <si>
    <r>
      <t>Value should be moved directly to Variable E. For this example, say that the refurbishment is general with no clear identification to</t>
    </r>
    <r>
      <rPr>
        <vertAlign val="superscript"/>
        <sz val="11"/>
        <color theme="1"/>
        <rFont val="Calibri"/>
        <family val="2"/>
        <scheme val="minor"/>
      </rPr>
      <t xml:space="preserve"> 99</t>
    </r>
    <r>
      <rPr>
        <sz val="11"/>
        <color theme="1"/>
        <rFont val="Calibri"/>
        <family val="2"/>
        <scheme val="minor"/>
      </rPr>
      <t>Mo production.</t>
    </r>
  </si>
  <si>
    <t>Discount Rate</t>
  </si>
  <si>
    <t>Inflation</t>
  </si>
  <si>
    <t>Nominal Interest Rate = r</t>
  </si>
  <si>
    <t>Number of payment periods per year = t</t>
  </si>
  <si>
    <t>Comment</t>
  </si>
  <si>
    <t>D</t>
  </si>
  <si>
    <r>
      <t>z</t>
    </r>
    <r>
      <rPr>
        <vertAlign val="subscript"/>
        <sz val="11"/>
        <color theme="1"/>
        <rFont val="Calibri"/>
        <family val="2"/>
        <scheme val="minor"/>
      </rPr>
      <t>1</t>
    </r>
  </si>
  <si>
    <r>
      <t>z</t>
    </r>
    <r>
      <rPr>
        <vertAlign val="subscript"/>
        <sz val="11"/>
        <color theme="1"/>
        <rFont val="Calibri"/>
        <family val="2"/>
        <scheme val="minor"/>
      </rPr>
      <t>2</t>
    </r>
  </si>
  <si>
    <r>
      <rPr>
        <sz val="11"/>
        <color theme="1"/>
        <rFont val="Calibri"/>
        <family val="2"/>
        <scheme val="minor"/>
      </rPr>
      <t>z</t>
    </r>
    <r>
      <rPr>
        <vertAlign val="subscript"/>
        <sz val="11"/>
        <color theme="1"/>
        <rFont val="Calibri"/>
        <family val="2"/>
        <scheme val="minor"/>
      </rPr>
      <t>3</t>
    </r>
  </si>
  <si>
    <t>Interest Values</t>
  </si>
  <si>
    <t>B</t>
  </si>
  <si>
    <r>
      <t>Formula: x</t>
    </r>
    <r>
      <rPr>
        <b/>
        <vertAlign val="subscript"/>
        <sz val="11"/>
        <color theme="1"/>
        <rFont val="Calibri"/>
        <family val="2"/>
        <scheme val="minor"/>
      </rPr>
      <t>r</t>
    </r>
    <r>
      <rPr>
        <b/>
        <sz val="11"/>
        <color theme="1"/>
        <rFont val="Calibri"/>
        <family val="2"/>
        <scheme val="minor"/>
      </rPr>
      <t>B = B*(FTE</t>
    </r>
    <r>
      <rPr>
        <b/>
        <vertAlign val="subscript"/>
        <sz val="11"/>
        <color theme="1"/>
        <rFont val="Calibri"/>
        <family val="2"/>
        <scheme val="minor"/>
      </rPr>
      <t>r</t>
    </r>
    <r>
      <rPr>
        <b/>
        <sz val="11"/>
        <color theme="1"/>
        <rFont val="Calibri"/>
        <family val="2"/>
        <scheme val="minor"/>
      </rPr>
      <t>/</t>
    </r>
    <r>
      <rPr>
        <b/>
        <sz val="11"/>
        <color theme="1"/>
        <rFont val="Calibri"/>
        <family val="2"/>
      </rPr>
      <t>∑FTE); then apply factor y</t>
    </r>
  </si>
  <si>
    <t>Decommissioning costs for facility</t>
  </si>
  <si>
    <t>1. What is the value of full time employee equivalents at the full facility?</t>
  </si>
  <si>
    <t>∑FTE</t>
  </si>
  <si>
    <r>
      <t>FTE</t>
    </r>
    <r>
      <rPr>
        <vertAlign val="subscript"/>
        <sz val="11"/>
        <color theme="1"/>
        <rFont val="Calibri"/>
        <family val="2"/>
        <scheme val="minor"/>
      </rPr>
      <t>r</t>
    </r>
  </si>
  <si>
    <t>2. What is the value of full time employee equivalents at the full facility that can be cleary identified for any specific mission?</t>
  </si>
  <si>
    <t>Full-time employee equivalents are determined by the total hours worked by all employees at the facility divided by the total hours in the work year at the facility</t>
  </si>
  <si>
    <r>
      <t>x</t>
    </r>
    <r>
      <rPr>
        <vertAlign val="subscript"/>
        <sz val="11"/>
        <color theme="1"/>
        <rFont val="Calibri"/>
        <family val="2"/>
        <scheme val="minor"/>
      </rPr>
      <t>r</t>
    </r>
  </si>
  <si>
    <t>C</t>
  </si>
  <si>
    <r>
      <t>y</t>
    </r>
    <r>
      <rPr>
        <vertAlign val="subscript"/>
        <sz val="11"/>
        <color theme="1"/>
        <rFont val="Calibri"/>
        <family val="2"/>
        <scheme val="minor"/>
      </rPr>
      <t>m</t>
    </r>
  </si>
  <si>
    <t>Inflation = i</t>
  </si>
  <si>
    <r>
      <t>2. Of z</t>
    </r>
    <r>
      <rPr>
        <vertAlign val="subscript"/>
        <sz val="11"/>
        <color theme="1"/>
        <rFont val="Calibri"/>
        <family val="2"/>
        <scheme val="minor"/>
      </rPr>
      <t>1</t>
    </r>
    <r>
      <rPr>
        <sz val="11"/>
        <color theme="1"/>
        <rFont val="Calibri"/>
        <family val="2"/>
        <scheme val="minor"/>
      </rPr>
      <t xml:space="preserve">, what value is clearly attributable to </t>
    </r>
    <r>
      <rPr>
        <vertAlign val="superscript"/>
        <sz val="11"/>
        <color theme="1"/>
        <rFont val="Calibri"/>
        <family val="2"/>
        <scheme val="minor"/>
      </rPr>
      <t>99</t>
    </r>
    <r>
      <rPr>
        <sz val="11"/>
        <color theme="1"/>
        <rFont val="Calibri"/>
        <family val="2"/>
        <scheme val="minor"/>
      </rPr>
      <t>Mo production? (2011 currency)</t>
    </r>
  </si>
  <si>
    <t>These would be treated as fixed investment costs that need to be paid back to lender</t>
  </si>
  <si>
    <t>These would be treated as annuity payments to have funds available for decommissioning</t>
  </si>
  <si>
    <t>These would be treated as annual costs</t>
  </si>
  <si>
    <t>Costs (Discounted)</t>
  </si>
  <si>
    <t>Costs  (Nominal)</t>
  </si>
  <si>
    <t>Cost (Discounted)</t>
  </si>
  <si>
    <t>Year</t>
  </si>
  <si>
    <t>See comments in A-Capital</t>
  </si>
  <si>
    <t>See comments in D-Decommissioning</t>
  </si>
  <si>
    <r>
      <t xml:space="preserve">3. What is the value of full time employee equivalents at the full facility that can be cleary identified for </t>
    </r>
    <r>
      <rPr>
        <vertAlign val="superscript"/>
        <sz val="11"/>
        <color theme="1"/>
        <rFont val="Calibri"/>
        <family val="2"/>
        <scheme val="minor"/>
      </rPr>
      <t>99</t>
    </r>
    <r>
      <rPr>
        <sz val="11"/>
        <color theme="1"/>
        <rFont val="Calibri"/>
        <family val="2"/>
        <scheme val="minor"/>
      </rPr>
      <t>Mo irradiation services?</t>
    </r>
  </si>
  <si>
    <t>Move to C</t>
  </si>
  <si>
    <t>Move to other missions</t>
  </si>
  <si>
    <t>This is the first-glance operational costs + identified costs from first-glance overhead costs - those costs that can be easily attributed to specific missions</t>
  </si>
  <si>
    <r>
      <t>To determine y</t>
    </r>
    <r>
      <rPr>
        <u/>
        <vertAlign val="subscript"/>
        <sz val="11"/>
        <color theme="1"/>
        <rFont val="Calibri"/>
        <family val="2"/>
        <scheme val="minor"/>
      </rPr>
      <t>m</t>
    </r>
  </si>
  <si>
    <t>∑U</t>
  </si>
  <si>
    <r>
      <t>U</t>
    </r>
    <r>
      <rPr>
        <vertAlign val="subscript"/>
        <sz val="11"/>
        <color theme="1"/>
        <rFont val="Calibri"/>
        <family val="2"/>
        <scheme val="minor"/>
      </rPr>
      <t>m</t>
    </r>
  </si>
  <si>
    <t>Number of irradiation sites by user group</t>
  </si>
  <si>
    <t>Unused</t>
  </si>
  <si>
    <t>Total</t>
  </si>
  <si>
    <t>User 3</t>
  </si>
  <si>
    <r>
      <rPr>
        <vertAlign val="superscript"/>
        <sz val="11"/>
        <color theme="1"/>
        <rFont val="Calibri"/>
        <family val="2"/>
        <scheme val="minor"/>
      </rPr>
      <t>99</t>
    </r>
    <r>
      <rPr>
        <sz val="11"/>
        <color theme="1"/>
        <rFont val="Calibri"/>
        <family val="2"/>
        <scheme val="minor"/>
      </rPr>
      <t>Mo user</t>
    </r>
  </si>
  <si>
    <t>Average</t>
  </si>
  <si>
    <t>Users - Sites * Quality Factor</t>
  </si>
  <si>
    <t>Total without unused</t>
  </si>
  <si>
    <t>% avg</t>
  </si>
  <si>
    <t>User 1</t>
  </si>
  <si>
    <r>
      <t>y</t>
    </r>
    <r>
      <rPr>
        <vertAlign val="subscript"/>
        <sz val="11"/>
        <color theme="1"/>
        <rFont val="Calibri"/>
        <family val="2"/>
        <scheme val="minor"/>
      </rPr>
      <t>z</t>
    </r>
  </si>
  <si>
    <r>
      <t>y</t>
    </r>
    <r>
      <rPr>
        <vertAlign val="subscript"/>
        <sz val="11"/>
        <color theme="1"/>
        <rFont val="Calibri"/>
        <family val="2"/>
        <scheme val="minor"/>
      </rPr>
      <t>x</t>
    </r>
  </si>
  <si>
    <t>Derived in C-Operational</t>
  </si>
  <si>
    <r>
      <t>Formula: y</t>
    </r>
    <r>
      <rPr>
        <b/>
        <vertAlign val="subscript"/>
        <sz val="11"/>
        <color theme="1"/>
        <rFont val="Calibri"/>
        <family val="2"/>
        <scheme val="minor"/>
      </rPr>
      <t>m</t>
    </r>
    <r>
      <rPr>
        <b/>
        <sz val="11"/>
        <color theme="1"/>
        <rFont val="Calibri"/>
        <family val="2"/>
        <scheme val="minor"/>
      </rPr>
      <t>C = C*(U</t>
    </r>
    <r>
      <rPr>
        <b/>
        <vertAlign val="subscript"/>
        <sz val="11"/>
        <color theme="1"/>
        <rFont val="Calibri"/>
        <family val="2"/>
        <scheme val="minor"/>
      </rPr>
      <t>m</t>
    </r>
    <r>
      <rPr>
        <b/>
        <sz val="11"/>
        <color theme="1"/>
        <rFont val="Calibri"/>
        <family val="2"/>
        <scheme val="minor"/>
      </rPr>
      <t>/</t>
    </r>
    <r>
      <rPr>
        <b/>
        <sz val="11"/>
        <color theme="1"/>
        <rFont val="Calibri"/>
        <family val="2"/>
      </rPr>
      <t>∑U)</t>
    </r>
  </si>
  <si>
    <r>
      <t>Formulas: y</t>
    </r>
    <r>
      <rPr>
        <b/>
        <vertAlign val="subscript"/>
        <sz val="11"/>
        <color theme="1"/>
        <rFont val="Calibri"/>
        <family val="2"/>
        <scheme val="minor"/>
      </rPr>
      <t>m</t>
    </r>
    <r>
      <rPr>
        <b/>
        <sz val="11"/>
        <color theme="1"/>
        <rFont val="Calibri"/>
        <family val="2"/>
        <scheme val="minor"/>
      </rPr>
      <t xml:space="preserve"> = U</t>
    </r>
    <r>
      <rPr>
        <b/>
        <vertAlign val="subscript"/>
        <sz val="11"/>
        <color theme="1"/>
        <rFont val="Calibri"/>
        <family val="2"/>
        <scheme val="minor"/>
      </rPr>
      <t>m</t>
    </r>
    <r>
      <rPr>
        <b/>
        <sz val="11"/>
        <color theme="1"/>
        <rFont val="Calibri"/>
        <family val="2"/>
        <scheme val="minor"/>
      </rPr>
      <t>/</t>
    </r>
    <r>
      <rPr>
        <b/>
        <sz val="11"/>
        <color theme="1"/>
        <rFont val="Calibri"/>
        <family val="2"/>
      </rPr>
      <t>∑U and U</t>
    </r>
    <r>
      <rPr>
        <b/>
        <vertAlign val="subscript"/>
        <sz val="11"/>
        <color theme="1"/>
        <rFont val="Calibri"/>
        <family val="2"/>
      </rPr>
      <t>m</t>
    </r>
    <r>
      <rPr>
        <b/>
        <sz val="11"/>
        <color theme="1"/>
        <rFont val="Calibri"/>
        <family val="2"/>
      </rPr>
      <t xml:space="preserve"> = ∑ (S * Qf)</t>
    </r>
  </si>
  <si>
    <r>
      <t>Formula: wA + y</t>
    </r>
    <r>
      <rPr>
        <b/>
        <vertAlign val="subscript"/>
        <sz val="11"/>
        <color theme="1"/>
        <rFont val="Calibri"/>
        <family val="2"/>
        <scheme val="minor"/>
      </rPr>
      <t>m</t>
    </r>
    <r>
      <rPr>
        <b/>
        <sz val="11"/>
        <color theme="1"/>
        <rFont val="Calibri"/>
        <family val="2"/>
        <scheme val="minor"/>
      </rPr>
      <t>(x</t>
    </r>
    <r>
      <rPr>
        <b/>
        <vertAlign val="subscript"/>
        <sz val="11"/>
        <color theme="1"/>
        <rFont val="Calibri"/>
        <family val="2"/>
        <scheme val="minor"/>
      </rPr>
      <t>r</t>
    </r>
    <r>
      <rPr>
        <b/>
        <sz val="11"/>
        <color theme="1"/>
        <rFont val="Calibri"/>
        <family val="2"/>
        <scheme val="minor"/>
      </rPr>
      <t>B + C) + zD + E</t>
    </r>
  </si>
  <si>
    <t xml:space="preserve"> Year</t>
  </si>
  <si>
    <t>LUCM (€/6-day curie)</t>
  </si>
  <si>
    <t>Note: Derived from variable worksheets</t>
  </si>
  <si>
    <t>- input to model</t>
  </si>
  <si>
    <t>- output from model</t>
  </si>
  <si>
    <t>First Refurbishment</t>
  </si>
  <si>
    <t>Refurbishment Costs - first</t>
  </si>
  <si>
    <t>Refurbishment Costs - second</t>
  </si>
  <si>
    <t>Refurbishment Costs - third</t>
  </si>
  <si>
    <t>Amortisation period (years) - first</t>
  </si>
  <si>
    <t>Amortisation period (years) - second</t>
  </si>
  <si>
    <t>Amortisation period (years) - third</t>
  </si>
  <si>
    <r>
      <t>A</t>
    </r>
    <r>
      <rPr>
        <vertAlign val="subscript"/>
        <sz val="11"/>
        <color theme="1"/>
        <rFont val="Calibri"/>
        <family val="2"/>
        <scheme val="minor"/>
      </rPr>
      <t>2a</t>
    </r>
  </si>
  <si>
    <r>
      <t>A</t>
    </r>
    <r>
      <rPr>
        <vertAlign val="subscript"/>
        <sz val="11"/>
        <color theme="1"/>
        <rFont val="Calibri"/>
        <family val="2"/>
        <scheme val="minor"/>
      </rPr>
      <t>2b</t>
    </r>
  </si>
  <si>
    <r>
      <t>A</t>
    </r>
    <r>
      <rPr>
        <vertAlign val="subscript"/>
        <sz val="11"/>
        <color theme="1"/>
        <rFont val="Calibri"/>
        <family val="2"/>
        <scheme val="minor"/>
      </rPr>
      <t>2c</t>
    </r>
  </si>
  <si>
    <t>Amortisation period (years) - initial infrastructure</t>
  </si>
  <si>
    <r>
      <t>k</t>
    </r>
    <r>
      <rPr>
        <vertAlign val="subscript"/>
        <sz val="11"/>
        <color theme="1"/>
        <rFont val="Calibri"/>
        <family val="2"/>
        <scheme val="minor"/>
      </rPr>
      <t>a</t>
    </r>
  </si>
  <si>
    <r>
      <t>k</t>
    </r>
    <r>
      <rPr>
        <vertAlign val="subscript"/>
        <sz val="11"/>
        <color theme="1"/>
        <rFont val="Calibri"/>
        <family val="2"/>
        <scheme val="minor"/>
      </rPr>
      <t>c</t>
    </r>
  </si>
  <si>
    <r>
      <t>k</t>
    </r>
    <r>
      <rPr>
        <vertAlign val="subscript"/>
        <sz val="11"/>
        <color theme="1"/>
        <rFont val="Calibri"/>
        <family val="2"/>
        <scheme val="minor"/>
      </rPr>
      <t>b</t>
    </r>
  </si>
  <si>
    <t>To derive the nominal value of the refurbishment, in order to determine the value to be paid back every year to the lender. Derived using: Future Value = Present Value * (1 + inflation rate)^year of refurbishment.</t>
  </si>
  <si>
    <t>Year of refurbishment - second</t>
  </si>
  <si>
    <t>Year of refurbishment - first</t>
  </si>
  <si>
    <t>Year of refurbishment - third</t>
  </si>
  <si>
    <t>n</t>
  </si>
  <si>
    <t>t</t>
  </si>
  <si>
    <t>r</t>
  </si>
  <si>
    <t>i</t>
  </si>
  <si>
    <t>Nominal Interest Rate</t>
  </si>
  <si>
    <t>Number of payment periods per year</t>
  </si>
  <si>
    <r>
      <t>w</t>
    </r>
    <r>
      <rPr>
        <vertAlign val="subscript"/>
        <sz val="11"/>
        <color theme="1"/>
        <rFont val="Calibri"/>
        <family val="2"/>
        <scheme val="minor"/>
      </rPr>
      <t>4a</t>
    </r>
  </si>
  <si>
    <r>
      <t>w</t>
    </r>
    <r>
      <rPr>
        <vertAlign val="subscript"/>
        <sz val="11"/>
        <color theme="1"/>
        <rFont val="Calibri"/>
        <family val="2"/>
        <scheme val="minor"/>
      </rPr>
      <t>5a</t>
    </r>
  </si>
  <si>
    <r>
      <t>w</t>
    </r>
    <r>
      <rPr>
        <vertAlign val="subscript"/>
        <sz val="11"/>
        <color theme="1"/>
        <rFont val="Calibri"/>
        <family val="2"/>
        <scheme val="minor"/>
      </rPr>
      <t>6a</t>
    </r>
  </si>
  <si>
    <t>Second Refurbishment</t>
  </si>
  <si>
    <t>See above - First Refurbishment - for comment</t>
  </si>
  <si>
    <t>Third Refurbishment</t>
  </si>
  <si>
    <r>
      <t>x</t>
    </r>
    <r>
      <rPr>
        <vertAlign val="subscript"/>
        <sz val="11"/>
        <color theme="1"/>
        <rFont val="Calibri"/>
        <family val="2"/>
        <scheme val="minor"/>
      </rPr>
      <t>r</t>
    </r>
    <r>
      <rPr>
        <sz val="11"/>
        <color theme="1"/>
        <rFont val="Calibri"/>
        <family val="2"/>
        <scheme val="minor"/>
      </rPr>
      <t xml:space="preserve"> = FTEr/∑FTE</t>
    </r>
  </si>
  <si>
    <t>Additional Information</t>
  </si>
  <si>
    <t>Production</t>
  </si>
  <si>
    <r>
      <t>w</t>
    </r>
    <r>
      <rPr>
        <vertAlign val="subscript"/>
        <sz val="11"/>
        <color theme="1"/>
        <rFont val="Calibri"/>
        <family val="2"/>
        <scheme val="minor"/>
      </rPr>
      <t>6b</t>
    </r>
  </si>
  <si>
    <r>
      <t>w</t>
    </r>
    <r>
      <rPr>
        <vertAlign val="subscript"/>
        <sz val="11"/>
        <color theme="1"/>
        <rFont val="Calibri"/>
        <family val="2"/>
        <scheme val="minor"/>
      </rPr>
      <t>6c</t>
    </r>
  </si>
  <si>
    <r>
      <t>z</t>
    </r>
    <r>
      <rPr>
        <vertAlign val="subscript"/>
        <sz val="11"/>
        <color theme="1"/>
        <rFont val="Calibri"/>
        <family val="2"/>
        <scheme val="minor"/>
      </rPr>
      <t>3</t>
    </r>
  </si>
  <si>
    <t>Refer to Worksheet "Neutron Utilisation-C"</t>
  </si>
  <si>
    <t>Year from Comm (k)</t>
  </si>
  <si>
    <r>
      <t>E</t>
    </r>
    <r>
      <rPr>
        <vertAlign val="superscript"/>
        <sz val="11"/>
        <color theme="1"/>
        <rFont val="Calibri"/>
        <family val="2"/>
        <scheme val="minor"/>
      </rPr>
      <t>0</t>
    </r>
  </si>
  <si>
    <r>
      <t>A</t>
    </r>
    <r>
      <rPr>
        <vertAlign val="subscript"/>
        <sz val="11"/>
        <color theme="1"/>
        <rFont val="Calibri"/>
        <family val="2"/>
        <scheme val="minor"/>
      </rPr>
      <t>1</t>
    </r>
    <r>
      <rPr>
        <vertAlign val="superscript"/>
        <sz val="11"/>
        <color theme="1"/>
        <rFont val="Calibri"/>
        <family val="2"/>
        <scheme val="minor"/>
      </rPr>
      <t>99Mo</t>
    </r>
  </si>
  <si>
    <r>
      <t>A</t>
    </r>
    <r>
      <rPr>
        <vertAlign val="subscript"/>
        <sz val="11"/>
        <color theme="1"/>
        <rFont val="Calibri"/>
        <family val="2"/>
        <scheme val="minor"/>
      </rPr>
      <t>2a</t>
    </r>
    <r>
      <rPr>
        <vertAlign val="superscript"/>
        <sz val="11"/>
        <color theme="1"/>
        <rFont val="Calibri"/>
        <family val="2"/>
        <scheme val="minor"/>
      </rPr>
      <t>99Mo</t>
    </r>
  </si>
  <si>
    <r>
      <t>A</t>
    </r>
    <r>
      <rPr>
        <vertAlign val="subscript"/>
        <sz val="11"/>
        <color theme="1"/>
        <rFont val="Calibri"/>
        <family val="2"/>
        <scheme val="minor"/>
      </rPr>
      <t>2b</t>
    </r>
    <r>
      <rPr>
        <vertAlign val="superscript"/>
        <sz val="11"/>
        <color theme="1"/>
        <rFont val="Calibri"/>
        <family val="2"/>
        <scheme val="minor"/>
      </rPr>
      <t>99Mo</t>
    </r>
  </si>
  <si>
    <r>
      <t>A</t>
    </r>
    <r>
      <rPr>
        <vertAlign val="subscript"/>
        <sz val="11"/>
        <color theme="1"/>
        <rFont val="Calibri"/>
        <family val="2"/>
        <scheme val="minor"/>
      </rPr>
      <t>2c</t>
    </r>
    <r>
      <rPr>
        <vertAlign val="superscript"/>
        <sz val="11"/>
        <color theme="1"/>
        <rFont val="Calibri"/>
        <family val="2"/>
        <scheme val="minor"/>
      </rPr>
      <t>99Mo</t>
    </r>
  </si>
  <si>
    <r>
      <rPr>
        <sz val="11"/>
        <color theme="1"/>
        <rFont val="Calibri"/>
        <family val="2"/>
        <scheme val="minor"/>
      </rPr>
      <t>B</t>
    </r>
    <r>
      <rPr>
        <vertAlign val="superscript"/>
        <sz val="11"/>
        <color theme="1"/>
        <rFont val="Calibri"/>
        <family val="2"/>
        <scheme val="minor"/>
      </rPr>
      <t>99Mo</t>
    </r>
  </si>
  <si>
    <r>
      <rPr>
        <sz val="11"/>
        <color theme="1"/>
        <rFont val="Calibri"/>
        <family val="2"/>
        <scheme val="minor"/>
      </rPr>
      <t>C</t>
    </r>
    <r>
      <rPr>
        <vertAlign val="superscript"/>
        <sz val="11"/>
        <color theme="1"/>
        <rFont val="Calibri"/>
        <family val="2"/>
        <scheme val="minor"/>
      </rPr>
      <t>99Mo</t>
    </r>
  </si>
  <si>
    <r>
      <rPr>
        <sz val="11"/>
        <color theme="1"/>
        <rFont val="Calibri"/>
        <family val="2"/>
        <scheme val="minor"/>
      </rPr>
      <t>D</t>
    </r>
    <r>
      <rPr>
        <vertAlign val="superscript"/>
        <sz val="11"/>
        <color theme="1"/>
        <rFont val="Calibri"/>
        <family val="2"/>
        <scheme val="minor"/>
      </rPr>
      <t>99Mo</t>
    </r>
  </si>
  <si>
    <r>
      <t>Value should be moved directly to Variable E. Say that of Z</t>
    </r>
    <r>
      <rPr>
        <vertAlign val="subscript"/>
        <sz val="11"/>
        <color theme="1"/>
        <rFont val="Calibri"/>
        <family val="2"/>
        <scheme val="minor"/>
      </rPr>
      <t>1</t>
    </r>
    <r>
      <rPr>
        <sz val="11"/>
        <color theme="1"/>
        <rFont val="Calibri"/>
        <family val="2"/>
        <scheme val="minor"/>
      </rPr>
      <t xml:space="preserve"> 1</t>
    </r>
    <r>
      <rPr>
        <sz val="11"/>
        <rFont val="Calibri"/>
        <family val="2"/>
        <scheme val="minor"/>
      </rPr>
      <t>M€</t>
    </r>
    <r>
      <rPr>
        <sz val="11"/>
        <color theme="1"/>
        <rFont val="Calibri"/>
        <family val="2"/>
        <scheme val="minor"/>
      </rPr>
      <t xml:space="preserve"> is for irrigation rigs and other specific infrastructure for </t>
    </r>
    <r>
      <rPr>
        <vertAlign val="superscript"/>
        <sz val="11"/>
        <color theme="1"/>
        <rFont val="Calibri"/>
        <family val="2"/>
        <scheme val="minor"/>
      </rPr>
      <t>99</t>
    </r>
    <r>
      <rPr>
        <sz val="11"/>
        <color theme="1"/>
        <rFont val="Calibri"/>
        <family val="2"/>
        <scheme val="minor"/>
      </rPr>
      <t>Mo production</t>
    </r>
  </si>
  <si>
    <t>This variable determines how much is needed to be set aside every year to have the required percentage in real terms at the end of the amortisation period: Factor = r/[(1+r)^n-1], where n is the amortisation period</t>
  </si>
  <si>
    <t xml:space="preserve">Use this question if General Overhead Costs have not already subtracted these costs and attributed them to specific missions. </t>
  </si>
  <si>
    <r>
      <t>D</t>
    </r>
    <r>
      <rPr>
        <vertAlign val="subscript"/>
        <sz val="11"/>
        <color theme="1"/>
        <rFont val="Calibri"/>
        <family val="2"/>
        <scheme val="minor"/>
      </rPr>
      <t>n</t>
    </r>
  </si>
  <si>
    <r>
      <rPr>
        <sz val="11"/>
        <color theme="1"/>
        <rFont val="Calibri"/>
        <family val="2"/>
        <scheme val="minor"/>
      </rPr>
      <t>D</t>
    </r>
    <r>
      <rPr>
        <vertAlign val="subscript"/>
        <sz val="11"/>
        <color theme="1"/>
        <rFont val="Calibri"/>
        <family val="2"/>
        <scheme val="minor"/>
      </rPr>
      <t>n</t>
    </r>
    <r>
      <rPr>
        <vertAlign val="superscript"/>
        <sz val="11"/>
        <color theme="1"/>
        <rFont val="Calibri"/>
        <family val="2"/>
        <scheme val="minor"/>
      </rPr>
      <t>99Mo</t>
    </r>
  </si>
  <si>
    <r>
      <t>Formula: E = (E</t>
    </r>
    <r>
      <rPr>
        <b/>
        <vertAlign val="superscript"/>
        <sz val="11"/>
        <color theme="1"/>
        <rFont val="Calibri"/>
        <family val="2"/>
        <scheme val="minor"/>
      </rPr>
      <t>0</t>
    </r>
    <r>
      <rPr>
        <b/>
        <sz val="11"/>
        <color theme="1"/>
        <rFont val="Calibri"/>
        <family val="2"/>
        <scheme val="minor"/>
      </rPr>
      <t>*(1+i</t>
    </r>
    <r>
      <rPr>
        <b/>
        <sz val="11"/>
        <color theme="1"/>
        <rFont val="Calibri"/>
        <family val="2"/>
      </rPr>
      <t>)</t>
    </r>
    <r>
      <rPr>
        <b/>
        <vertAlign val="superscript"/>
        <sz val="11"/>
        <color theme="1"/>
        <rFont val="Calibri"/>
        <family val="2"/>
      </rPr>
      <t>k</t>
    </r>
    <r>
      <rPr>
        <b/>
        <sz val="11"/>
        <color theme="1"/>
        <rFont val="Calibri"/>
        <family val="2"/>
      </rPr>
      <t>)+(A</t>
    </r>
    <r>
      <rPr>
        <b/>
        <vertAlign val="subscript"/>
        <sz val="11"/>
        <color theme="1"/>
        <rFont val="Calibri"/>
        <family val="2"/>
      </rPr>
      <t>1</t>
    </r>
    <r>
      <rPr>
        <b/>
        <vertAlign val="superscript"/>
        <sz val="11"/>
        <color theme="1"/>
        <rFont val="Calibri"/>
        <family val="2"/>
      </rPr>
      <t>99Mo</t>
    </r>
    <r>
      <rPr>
        <b/>
        <sz val="11"/>
        <color theme="1"/>
        <rFont val="Calibri"/>
        <family val="2"/>
      </rPr>
      <t>/w</t>
    </r>
    <r>
      <rPr>
        <b/>
        <vertAlign val="subscript"/>
        <sz val="11"/>
        <color theme="1"/>
        <rFont val="Calibri"/>
        <family val="2"/>
      </rPr>
      <t>3</t>
    </r>
    <r>
      <rPr>
        <b/>
        <sz val="11"/>
        <color theme="1"/>
        <rFont val="Calibri"/>
        <family val="2"/>
      </rPr>
      <t>)+(∑A</t>
    </r>
    <r>
      <rPr>
        <b/>
        <vertAlign val="subscript"/>
        <sz val="11"/>
        <color theme="1"/>
        <rFont val="Calibri"/>
        <family val="2"/>
      </rPr>
      <t>2x</t>
    </r>
    <r>
      <rPr>
        <b/>
        <vertAlign val="superscript"/>
        <sz val="11"/>
        <color theme="1"/>
        <rFont val="Calibri"/>
        <family val="2"/>
      </rPr>
      <t>99Mo</t>
    </r>
    <r>
      <rPr>
        <b/>
        <sz val="11"/>
        <color theme="1"/>
        <rFont val="Calibri"/>
        <family val="2"/>
      </rPr>
      <t>/w</t>
    </r>
    <r>
      <rPr>
        <b/>
        <vertAlign val="subscript"/>
        <sz val="11"/>
        <color theme="1"/>
        <rFont val="Calibri"/>
        <family val="2"/>
      </rPr>
      <t>6x</t>
    </r>
    <r>
      <rPr>
        <b/>
        <sz val="11"/>
        <color theme="1"/>
        <rFont val="Calibri"/>
        <family val="2"/>
      </rPr>
      <t>)+(B</t>
    </r>
    <r>
      <rPr>
        <b/>
        <vertAlign val="superscript"/>
        <sz val="11"/>
        <color theme="1"/>
        <rFont val="Calibri"/>
        <family val="2"/>
      </rPr>
      <t>99Mo</t>
    </r>
    <r>
      <rPr>
        <b/>
        <sz val="11"/>
        <color theme="1"/>
        <rFont val="Calibri"/>
        <family val="2"/>
      </rPr>
      <t>*(1+i)</t>
    </r>
    <r>
      <rPr>
        <b/>
        <vertAlign val="superscript"/>
        <sz val="11"/>
        <color theme="1"/>
        <rFont val="Calibri"/>
        <family val="2"/>
      </rPr>
      <t>k</t>
    </r>
    <r>
      <rPr>
        <b/>
        <sz val="11"/>
        <color theme="1"/>
        <rFont val="Calibri"/>
        <family val="2"/>
      </rPr>
      <t>)+(C</t>
    </r>
    <r>
      <rPr>
        <b/>
        <vertAlign val="superscript"/>
        <sz val="11"/>
        <color theme="1"/>
        <rFont val="Calibri"/>
        <family val="2"/>
      </rPr>
      <t>99Mo</t>
    </r>
    <r>
      <rPr>
        <b/>
        <sz val="11"/>
        <color theme="1"/>
        <rFont val="Calibri"/>
        <family val="2"/>
      </rPr>
      <t>*(1+i)</t>
    </r>
    <r>
      <rPr>
        <b/>
        <vertAlign val="superscript"/>
        <sz val="11"/>
        <color theme="1"/>
        <rFont val="Calibri"/>
        <family val="2"/>
      </rPr>
      <t>k</t>
    </r>
    <r>
      <rPr>
        <b/>
        <sz val="11"/>
        <color theme="1"/>
        <rFont val="Calibri"/>
        <family val="2"/>
      </rPr>
      <t>)+([D</t>
    </r>
    <r>
      <rPr>
        <b/>
        <vertAlign val="subscript"/>
        <sz val="11"/>
        <color theme="1"/>
        <rFont val="Calibri"/>
        <family val="2"/>
      </rPr>
      <t>n</t>
    </r>
    <r>
      <rPr>
        <b/>
        <vertAlign val="superscript"/>
        <sz val="11"/>
        <color theme="1"/>
        <rFont val="Calibri"/>
        <family val="2"/>
      </rPr>
      <t>99Mo</t>
    </r>
    <r>
      <rPr>
        <b/>
        <sz val="11"/>
        <color theme="1"/>
        <rFont val="Calibri"/>
        <family val="2"/>
      </rPr>
      <t>/(1+r)</t>
    </r>
    <r>
      <rPr>
        <b/>
        <vertAlign val="superscript"/>
        <sz val="11"/>
        <color theme="1"/>
        <rFont val="Calibri"/>
        <family val="2"/>
      </rPr>
      <t>n</t>
    </r>
    <r>
      <rPr>
        <b/>
        <sz val="11"/>
        <color theme="1"/>
        <rFont val="Calibri"/>
        <family val="2"/>
      </rPr>
      <t>]*z</t>
    </r>
    <r>
      <rPr>
        <b/>
        <vertAlign val="subscript"/>
        <sz val="11"/>
        <color theme="1"/>
        <rFont val="Calibri"/>
        <family val="2"/>
      </rPr>
      <t>3</t>
    </r>
    <r>
      <rPr>
        <b/>
        <sz val="11"/>
        <color theme="1"/>
        <rFont val="Calibri"/>
        <family val="2"/>
      </rPr>
      <t>)</t>
    </r>
  </si>
  <si>
    <t>d</t>
  </si>
  <si>
    <t>Represents the PV of the decommissioning fund, derived from the formula PV=FV/(1+d)^n, where n is the amortisation period and d is the real interest rate</t>
  </si>
  <si>
    <t>Value of Decommissioning Fund for facility: year 0</t>
  </si>
  <si>
    <r>
      <t>Accounting for financing costs, this establishes the amount needed to be paid annually to funder, w</t>
    </r>
    <r>
      <rPr>
        <vertAlign val="subscript"/>
        <sz val="11"/>
        <color theme="1"/>
        <rFont val="Calibri"/>
        <family val="2"/>
        <scheme val="minor"/>
      </rPr>
      <t>3</t>
    </r>
    <r>
      <rPr>
        <sz val="11"/>
        <color theme="1"/>
        <rFont val="Calibri"/>
        <family val="2"/>
        <scheme val="minor"/>
      </rPr>
      <t xml:space="preserve"> = ([(1+r/t)^(n*t)]-1))/[(r/t)*((1+(r/t))^(n*t)], where n is the amortisation period of the infrastructure and t is the number of payment periods per year.</t>
    </r>
  </si>
  <si>
    <t>Start of amortisation period for refurbishment</t>
  </si>
  <si>
    <t>RESULTS</t>
  </si>
  <si>
    <t>TOTAL RESULTS</t>
  </si>
  <si>
    <t xml:space="preserve">Amortisation period for each refurbishment should be the expected life of the refurbishment. In this example, 5% of original capital, spent after each 10 years of operation (years 11, 21, 31), amortised over 10 years. </t>
  </si>
  <si>
    <t>Overnight capital costs; financing costs are accounted for in amortisation factors below</t>
  </si>
  <si>
    <r>
      <t xml:space="preserve">Determined by % of total effort of operations related to </t>
    </r>
    <r>
      <rPr>
        <vertAlign val="superscript"/>
        <sz val="11"/>
        <color theme="1"/>
        <rFont val="Calibri"/>
        <family val="2"/>
        <scheme val="minor"/>
      </rPr>
      <t>99</t>
    </r>
    <r>
      <rPr>
        <sz val="11"/>
        <color theme="1"/>
        <rFont val="Calibri"/>
        <family val="2"/>
        <scheme val="minor"/>
      </rPr>
      <t>Mo production based on activity planning of the reactor lifetime; y</t>
    </r>
    <r>
      <rPr>
        <vertAlign val="subscript"/>
        <sz val="11"/>
        <color theme="1"/>
        <rFont val="Calibri"/>
        <family val="2"/>
        <scheme val="minor"/>
      </rPr>
      <t xml:space="preserve">m </t>
    </r>
    <r>
      <rPr>
        <sz val="11"/>
        <color theme="1"/>
        <rFont val="Calibri"/>
        <family val="2"/>
        <scheme val="minor"/>
      </rPr>
      <t>is suggested to be used as a reference and for validation of the percentage (see guidance document for additional information)</t>
    </r>
  </si>
  <si>
    <r>
      <t>Determined by % of total effort of operations related to</t>
    </r>
    <r>
      <rPr>
        <vertAlign val="superscript"/>
        <sz val="11"/>
        <color theme="1"/>
        <rFont val="Calibri"/>
        <family val="2"/>
        <scheme val="minor"/>
      </rPr>
      <t xml:space="preserve"> 99</t>
    </r>
    <r>
      <rPr>
        <sz val="11"/>
        <color theme="1"/>
        <rFont val="Calibri"/>
        <family val="2"/>
        <scheme val="minor"/>
      </rPr>
      <t>Mo production based on activity planning of the reactor lifetime; y</t>
    </r>
    <r>
      <rPr>
        <vertAlign val="subscript"/>
        <sz val="11"/>
        <color theme="1"/>
        <rFont val="Calibri"/>
        <family val="2"/>
        <scheme val="minor"/>
      </rPr>
      <t>m</t>
    </r>
    <r>
      <rPr>
        <sz val="11"/>
        <color theme="1"/>
        <rFont val="Calibri"/>
        <family val="2"/>
        <scheme val="minor"/>
      </rPr>
      <t xml:space="preserve"> is suggested to be used as a reference and for validation of the percentage (see guidance document for additional information)</t>
    </r>
  </si>
  <si>
    <t>General Overhead Costs of Entire Facility: Total</t>
  </si>
  <si>
    <t>General Operational Costs of the Reactor: Total</t>
  </si>
  <si>
    <t>Processing Waste Management (if applicable)</t>
  </si>
  <si>
    <t>Processing Waste Final Disposal (if applicable)</t>
  </si>
  <si>
    <r>
      <t>Identified Specific</t>
    </r>
    <r>
      <rPr>
        <b/>
        <vertAlign val="superscript"/>
        <sz val="11"/>
        <color theme="1"/>
        <rFont val="Calibri"/>
        <family val="2"/>
        <scheme val="minor"/>
      </rPr>
      <t xml:space="preserve"> 99</t>
    </r>
    <r>
      <rPr>
        <b/>
        <sz val="11"/>
        <color theme="1"/>
        <rFont val="Calibri"/>
        <family val="2"/>
        <scheme val="minor"/>
      </rPr>
      <t>Mo irradiation costs: Total</t>
    </r>
  </si>
  <si>
    <t>If irradiation services are provided outside of the core, these sites should also be included in the calculations. Beam lines should also be considered a user site.</t>
  </si>
  <si>
    <t>Determine a Quality Factor for each site based on a reactor flux measurement model</t>
  </si>
  <si>
    <t>The only exception would be when an irradiation channel contains both fuel and an irradiation target for a specific mission. In this case, the fuel costs would be directly attributed to that mission and the site would be attributed to the specific user.</t>
  </si>
  <si>
    <t>Each time period represents one cycle within the reactor and the total time period to be considered is one year</t>
  </si>
  <si>
    <t>Recognising that some irradiation sites have larger volumes than others, reactors could consider "site-equivalent" rather than specific sites. Therefore, the reactor would determine a "normal site" within its reactor and this would be the reference for a "site-equivalent"; if the reactor has an irradiation site that is three times larger than the normal site, that site would be considered three "site-equivalents" and counted as such in the "number of irradiation sites by user group"</t>
  </si>
  <si>
    <r>
      <t>m</t>
    </r>
    <r>
      <rPr>
        <vertAlign val="subscript"/>
        <sz val="11"/>
        <color theme="1"/>
        <rFont val="Calibri"/>
        <family val="2"/>
        <scheme val="minor"/>
      </rPr>
      <t>a</t>
    </r>
  </si>
  <si>
    <r>
      <t>m</t>
    </r>
    <r>
      <rPr>
        <vertAlign val="subscript"/>
        <sz val="11"/>
        <color theme="1"/>
        <rFont val="Calibri"/>
        <family val="2"/>
        <scheme val="minor"/>
      </rPr>
      <t>b</t>
    </r>
  </si>
  <si>
    <r>
      <t>m</t>
    </r>
    <r>
      <rPr>
        <vertAlign val="subscript"/>
        <sz val="11"/>
        <color theme="1"/>
        <rFont val="Calibri"/>
        <family val="2"/>
        <scheme val="minor"/>
      </rPr>
      <t>c</t>
    </r>
  </si>
  <si>
    <r>
      <t>Formula: wA = [(A</t>
    </r>
    <r>
      <rPr>
        <b/>
        <vertAlign val="subscript"/>
        <sz val="11"/>
        <color theme="1"/>
        <rFont val="Calibri"/>
        <family val="2"/>
        <scheme val="minor"/>
      </rPr>
      <t>1</t>
    </r>
    <r>
      <rPr>
        <b/>
        <sz val="11"/>
        <color theme="1"/>
        <rFont val="Calibri"/>
        <family val="2"/>
        <scheme val="minor"/>
      </rPr>
      <t>*(1-w</t>
    </r>
    <r>
      <rPr>
        <b/>
        <vertAlign val="subscript"/>
        <sz val="11"/>
        <color theme="1"/>
        <rFont val="Calibri"/>
        <family val="2"/>
        <scheme val="minor"/>
      </rPr>
      <t>1</t>
    </r>
    <r>
      <rPr>
        <b/>
        <sz val="11"/>
        <color theme="1"/>
        <rFont val="Calibri"/>
        <family val="2"/>
        <scheme val="minor"/>
      </rPr>
      <t>)*w</t>
    </r>
    <r>
      <rPr>
        <b/>
        <vertAlign val="subscript"/>
        <sz val="11"/>
        <color theme="1"/>
        <rFont val="Calibri"/>
        <family val="2"/>
        <scheme val="minor"/>
      </rPr>
      <t>2</t>
    </r>
    <r>
      <rPr>
        <b/>
        <sz val="11"/>
        <color theme="1"/>
        <rFont val="Calibri"/>
        <family val="2"/>
        <scheme val="minor"/>
      </rPr>
      <t>)/w</t>
    </r>
    <r>
      <rPr>
        <b/>
        <vertAlign val="subscript"/>
        <sz val="11"/>
        <color theme="1"/>
        <rFont val="Calibri"/>
        <family val="2"/>
        <scheme val="minor"/>
      </rPr>
      <t>3</t>
    </r>
    <r>
      <rPr>
        <b/>
        <sz val="11"/>
        <color theme="1"/>
        <rFont val="Calibri"/>
        <family val="2"/>
        <scheme val="minor"/>
      </rPr>
      <t>]+∑[(A</t>
    </r>
    <r>
      <rPr>
        <b/>
        <vertAlign val="subscript"/>
        <sz val="11"/>
        <color theme="1"/>
        <rFont val="Calibri"/>
        <family val="2"/>
        <scheme val="minor"/>
      </rPr>
      <t>2</t>
    </r>
    <r>
      <rPr>
        <b/>
        <sz val="11"/>
        <color theme="1"/>
        <rFont val="Calibri"/>
        <family val="2"/>
        <scheme val="minor"/>
      </rPr>
      <t>*[(1+i)^m]*(1-w</t>
    </r>
    <r>
      <rPr>
        <b/>
        <vertAlign val="subscript"/>
        <sz val="11"/>
        <color theme="1"/>
        <rFont val="Calibri"/>
        <family val="2"/>
        <scheme val="minor"/>
      </rPr>
      <t>4</t>
    </r>
    <r>
      <rPr>
        <b/>
        <sz val="11"/>
        <color theme="1"/>
        <rFont val="Calibri"/>
        <family val="2"/>
        <scheme val="minor"/>
      </rPr>
      <t>)*w</t>
    </r>
    <r>
      <rPr>
        <b/>
        <vertAlign val="subscript"/>
        <sz val="11"/>
        <color theme="1"/>
        <rFont val="Calibri"/>
        <family val="2"/>
        <scheme val="minor"/>
      </rPr>
      <t>5</t>
    </r>
    <r>
      <rPr>
        <b/>
        <sz val="11"/>
        <color theme="1"/>
        <rFont val="Calibri"/>
        <family val="2"/>
        <scheme val="minor"/>
      </rPr>
      <t>)/w</t>
    </r>
    <r>
      <rPr>
        <b/>
        <vertAlign val="subscript"/>
        <sz val="11"/>
        <color theme="1"/>
        <rFont val="Calibri"/>
        <family val="2"/>
        <scheme val="minor"/>
      </rPr>
      <t>6</t>
    </r>
    <r>
      <rPr>
        <b/>
        <sz val="11"/>
        <color theme="1"/>
        <rFont val="Calibri"/>
        <family val="2"/>
        <scheme val="minor"/>
      </rPr>
      <t>]</t>
    </r>
  </si>
  <si>
    <t>Final Waste Disposal Provisions</t>
  </si>
  <si>
    <r>
      <t xml:space="preserve">Determined by total hours worked by all employees </t>
    </r>
    <r>
      <rPr>
        <u/>
        <sz val="11"/>
        <color theme="1"/>
        <rFont val="Calibri"/>
        <family val="2"/>
        <scheme val="minor"/>
      </rPr>
      <t>attributable to a specific facility or mission</t>
    </r>
    <r>
      <rPr>
        <sz val="11"/>
        <color theme="1"/>
        <rFont val="Calibri"/>
        <family val="2"/>
        <scheme val="minor"/>
      </rPr>
      <t xml:space="preserve"> divided by the total hours in the work year at the facility</t>
    </r>
  </si>
  <si>
    <r>
      <t xml:space="preserve">Determined by total hours worked by all employees </t>
    </r>
    <r>
      <rPr>
        <u/>
        <sz val="11"/>
        <color theme="1"/>
        <rFont val="Calibri"/>
        <family val="2"/>
        <scheme val="minor"/>
      </rPr>
      <t xml:space="preserve">attributable to providing </t>
    </r>
    <r>
      <rPr>
        <u/>
        <vertAlign val="superscript"/>
        <sz val="11"/>
        <color theme="1"/>
        <rFont val="Calibri"/>
        <family val="2"/>
        <scheme val="minor"/>
      </rPr>
      <t>99</t>
    </r>
    <r>
      <rPr>
        <u/>
        <sz val="11"/>
        <color theme="1"/>
        <rFont val="Calibri"/>
        <family val="2"/>
        <scheme val="minor"/>
      </rPr>
      <t>Mo irradiation services</t>
    </r>
    <r>
      <rPr>
        <sz val="11"/>
        <color theme="1"/>
        <rFont val="Calibri"/>
        <family val="2"/>
        <scheme val="minor"/>
      </rPr>
      <t xml:space="preserve"> divided by the total hours in the work year at the facility</t>
    </r>
  </si>
  <si>
    <t>Cycle</t>
  </si>
  <si>
    <t>OR</t>
  </si>
  <si>
    <t>Full-cost Recovery Identification Workbook: "First-Glance" Input</t>
  </si>
  <si>
    <t>Overnight capital costs; financing costs are accounted for in the Capital worksheet</t>
  </si>
  <si>
    <t>2. Enter the current year</t>
  </si>
  <si>
    <r>
      <t xml:space="preserve">3. Enter the first year of </t>
    </r>
    <r>
      <rPr>
        <vertAlign val="superscript"/>
        <sz val="11"/>
        <color theme="1"/>
        <rFont val="Calibri"/>
        <family val="2"/>
        <scheme val="minor"/>
      </rPr>
      <t>99</t>
    </r>
    <r>
      <rPr>
        <sz val="11"/>
        <color theme="1"/>
        <rFont val="Calibri"/>
        <family val="2"/>
        <scheme val="minor"/>
      </rPr>
      <t>Mo irradiation services from your facility</t>
    </r>
  </si>
  <si>
    <t>4. Enter expected costs of the first scheduled refurbishment</t>
  </si>
  <si>
    <t>5. Enter the amortisation period (in years) for the first scheduled refurbishment</t>
  </si>
  <si>
    <t>7. Enter expected costs of the second scheduled refurbishment</t>
  </si>
  <si>
    <t>8. Enter the amortisation period (in years) for the second scheduled refurbishment</t>
  </si>
  <si>
    <t>9. Enter the timing of the start of the second refurbishment</t>
  </si>
  <si>
    <t>6. Enter the timing of the start of the first refurbishment (e.g., 11 if starts in the 11th year of operation, after 10 years of operation)</t>
  </si>
  <si>
    <t>1. Enter the capital costs of your new irradiation facility (e.g., new reactor) [Note: if your calculations only concern refurbishments, set this value to 0]</t>
  </si>
  <si>
    <t>10. Enter expected costs of the third scheduled refurbishment</t>
  </si>
  <si>
    <t>11. Enter the amortisation period (in years) for the third scheduled refurbishment</t>
  </si>
  <si>
    <t>12. Enter the timing of the start of the third refurbishment</t>
  </si>
  <si>
    <t xml:space="preserve">13. Enter the number of pay periods of the financing in a year </t>
  </si>
  <si>
    <r>
      <t xml:space="preserve">E: Specific </t>
    </r>
    <r>
      <rPr>
        <b/>
        <vertAlign val="superscript"/>
        <sz val="11"/>
        <color theme="1"/>
        <rFont val="Calibri"/>
        <family val="2"/>
        <scheme val="minor"/>
      </rPr>
      <t>99</t>
    </r>
    <r>
      <rPr>
        <b/>
        <sz val="11"/>
        <color theme="1"/>
        <rFont val="Calibri"/>
        <family val="2"/>
        <scheme val="minor"/>
      </rPr>
      <t>Mo Irradiation Costs</t>
    </r>
  </si>
  <si>
    <t>1. Enter the annual cost of general administration services</t>
  </si>
  <si>
    <t>2. Enter the annual cost of site infrastructure support</t>
  </si>
  <si>
    <t>1. Enter the annual staff costs specific to the reactor or alternative irradiation facility</t>
  </si>
  <si>
    <t>2. Enter the annual costs of the reactor fuel and general consumables</t>
  </si>
  <si>
    <t>3. Enter the annual utility costs</t>
  </si>
  <si>
    <t xml:space="preserve">4. Enter the annual costs of waste management </t>
  </si>
  <si>
    <t>7. Enter the annual costs of security</t>
  </si>
  <si>
    <r>
      <t xml:space="preserve">Identified overhead costs "at a first-glance" are identified here; some of these may be able to be attributed to specific missions upon closer reflection (accounted for in B-Overhead worksheet). Operators can add additional sub-categories that are consistent with this category; ensure that the </t>
    </r>
    <r>
      <rPr>
        <b/>
        <sz val="11"/>
        <color theme="1"/>
        <rFont val="Calibri"/>
        <family val="2"/>
        <scheme val="minor"/>
      </rPr>
      <t xml:space="preserve">Total </t>
    </r>
    <r>
      <rPr>
        <sz val="11"/>
        <color theme="1"/>
        <rFont val="Calibri"/>
        <family val="2"/>
        <scheme val="minor"/>
      </rPr>
      <t>includes the costs (by adjusting the Sum equation).</t>
    </r>
  </si>
  <si>
    <t>Identified operational costs "at a first-glance" are identified here; some of these may be able to be attributed to specific missions upon closer reflection (see C-Operational worksheet). Operators can add additional sub-categories that are consistent with this category; ensure that the Total includes the costs (by adjusting the Sum equation).</t>
  </si>
  <si>
    <t>2. Enter the annual costs of handling irradiation targets</t>
  </si>
  <si>
    <t>1. Enter the capital costs of new irradiation devices</t>
  </si>
  <si>
    <t>3. Enter any annual ex-works truck loaded costs</t>
  </si>
  <si>
    <r>
      <t xml:space="preserve">4. Enter any </t>
    </r>
    <r>
      <rPr>
        <vertAlign val="superscript"/>
        <sz val="11"/>
        <color theme="1"/>
        <rFont val="Calibri"/>
        <family val="2"/>
        <scheme val="minor"/>
      </rPr>
      <t>99</t>
    </r>
    <r>
      <rPr>
        <sz val="11"/>
        <color theme="1"/>
        <rFont val="Calibri"/>
        <family val="2"/>
        <scheme val="minor"/>
      </rPr>
      <t>Mo specific administration costs</t>
    </r>
  </si>
  <si>
    <t>1. Enter the nominal interest rate</t>
  </si>
  <si>
    <t xml:space="preserve">2. Enter the inflation rate </t>
  </si>
  <si>
    <t>1. Enter your normal production per week (in 6-day curies/week)</t>
  </si>
  <si>
    <r>
      <t xml:space="preserve">2. Enter the number of operating weeks per year where </t>
    </r>
    <r>
      <rPr>
        <vertAlign val="superscript"/>
        <sz val="11"/>
        <color theme="1"/>
        <rFont val="Calibri"/>
        <family val="2"/>
        <scheme val="minor"/>
      </rPr>
      <t>99</t>
    </r>
    <r>
      <rPr>
        <sz val="11"/>
        <color theme="1"/>
        <rFont val="Calibri"/>
        <family val="2"/>
        <scheme val="minor"/>
      </rPr>
      <t>Mo irradiation services are provided</t>
    </r>
  </si>
  <si>
    <t>3. Enter the average number of operating cycles in a year</t>
  </si>
  <si>
    <t>1. Are decommissioning obligations set by a percentage of the original infrastructure costs? (y or n)</t>
  </si>
  <si>
    <t>y</t>
  </si>
  <si>
    <r>
      <t xml:space="preserve">2. </t>
    </r>
    <r>
      <rPr>
        <u/>
        <sz val="11"/>
        <color theme="1"/>
        <rFont val="Calibri"/>
        <family val="2"/>
        <scheme val="minor"/>
      </rPr>
      <t>If yes</t>
    </r>
    <r>
      <rPr>
        <sz val="11"/>
        <color theme="1"/>
        <rFont val="Calibri"/>
        <family val="2"/>
        <scheme val="minor"/>
      </rPr>
      <t>, enter the percentage</t>
    </r>
  </si>
  <si>
    <r>
      <t>4.</t>
    </r>
    <r>
      <rPr>
        <u/>
        <sz val="11"/>
        <color theme="1"/>
        <rFont val="Calibri"/>
        <family val="2"/>
        <scheme val="minor"/>
      </rPr>
      <t xml:space="preserve"> If no</t>
    </r>
    <r>
      <rPr>
        <sz val="11"/>
        <color theme="1"/>
        <rFont val="Calibri"/>
        <family val="2"/>
        <scheme val="minor"/>
      </rPr>
      <t>, enter the necessary value of the decommissioning fund</t>
    </r>
  </si>
  <si>
    <t>3. Please enter the original infrastructure costs if different than capital costs noted above (in A), for example, for existing reactors with no new capital costs. If same as above, leave as 0.</t>
  </si>
  <si>
    <t>Normal production per week (6-day curies)</t>
  </si>
  <si>
    <t>Average number of cycles per year</t>
  </si>
  <si>
    <t>Average number of weeks operating per year</t>
  </si>
  <si>
    <t xml:space="preserve">          (index to inflation, when setting own prices)</t>
  </si>
  <si>
    <t>Full-cost Recovery Identification Workbook: Final Results</t>
  </si>
  <si>
    <t>Full-cost Recovery Identification Workbook: Capital Costs Detail</t>
  </si>
  <si>
    <t>Full-cost Recovery Identification Workbook: General Overhead Costs Detail</t>
  </si>
  <si>
    <t>Full-cost Recovery Identification Workbook: General Operational Costs Detail</t>
  </si>
  <si>
    <t>Full-cost Recovery Identification Workbook: Neutron Utilisation Model Detail</t>
  </si>
  <si>
    <t>Full-cost Recovery Identification Workbook: Decommissioning Costs Detail</t>
  </si>
  <si>
    <r>
      <t xml:space="preserve">Full-cost Recovery Identification Workbook: Specific </t>
    </r>
    <r>
      <rPr>
        <b/>
        <u/>
        <vertAlign val="superscript"/>
        <sz val="11"/>
        <color theme="1"/>
        <rFont val="Calibri"/>
        <family val="2"/>
        <scheme val="minor"/>
      </rPr>
      <t>99</t>
    </r>
    <r>
      <rPr>
        <b/>
        <u/>
        <sz val="11"/>
        <color theme="1"/>
        <rFont val="Calibri"/>
        <family val="2"/>
        <scheme val="minor"/>
      </rPr>
      <t>Mo Irradiation Costs Detail</t>
    </r>
  </si>
  <si>
    <r>
      <t xml:space="preserve">NOTE: This worksheet provides the final results of all the calculations. These calculations are based on the inputs provided in the "input information" worksheet as well as the additional category specific presented in the other worksheets. </t>
    </r>
    <r>
      <rPr>
        <i/>
        <sz val="11"/>
        <color theme="1"/>
        <rFont val="Calibri"/>
        <family val="2"/>
        <scheme val="minor"/>
      </rPr>
      <t>Original values</t>
    </r>
    <r>
      <rPr>
        <sz val="11"/>
        <color theme="1"/>
        <rFont val="Calibri"/>
        <family val="2"/>
        <scheme val="minor"/>
      </rPr>
      <t xml:space="preserve"> presented are an example and in no way should be construed as representing accurate values. </t>
    </r>
  </si>
  <si>
    <t>For consistency, the HLG-MR set 40 years as a reasonable amortisation period to be used to determine full-costs</t>
  </si>
  <si>
    <t>Amortisation factor (derived from inputs)</t>
  </si>
  <si>
    <t>Value of the refurbishment in the year that it is scheduled to take place, in nominal dollars</t>
  </si>
  <si>
    <r>
      <t xml:space="preserve">The percentage (estimated) of reactor and facility usage that is for irradiation and handling of </t>
    </r>
    <r>
      <rPr>
        <vertAlign val="superscript"/>
        <sz val="11"/>
        <color theme="1"/>
        <rFont val="Calibri"/>
        <family val="2"/>
        <scheme val="minor"/>
      </rPr>
      <t>99</t>
    </r>
    <r>
      <rPr>
        <sz val="11"/>
        <color theme="1"/>
        <rFont val="Calibri"/>
        <family val="2"/>
        <scheme val="minor"/>
      </rPr>
      <t>Mo targets, based on business activity (same as w</t>
    </r>
    <r>
      <rPr>
        <vertAlign val="subscript"/>
        <sz val="11"/>
        <color theme="1"/>
        <rFont val="Calibri"/>
        <family val="2"/>
        <scheme val="minor"/>
      </rPr>
      <t>2</t>
    </r>
    <r>
      <rPr>
        <sz val="11"/>
        <color theme="1"/>
        <rFont val="Calibri"/>
        <family val="2"/>
        <scheme val="minor"/>
      </rPr>
      <t xml:space="preserve"> above)</t>
    </r>
  </si>
  <si>
    <t>The value of the refurbishment in the year that it is scheduled to take place, in nominal dollars</t>
  </si>
  <si>
    <r>
      <t>2. Of w</t>
    </r>
    <r>
      <rPr>
        <vertAlign val="subscript"/>
        <sz val="11"/>
        <color theme="1"/>
        <rFont val="Calibri"/>
        <family val="2"/>
        <scheme val="minor"/>
      </rPr>
      <t>6</t>
    </r>
    <r>
      <rPr>
        <sz val="11"/>
        <color theme="1"/>
        <rFont val="Calibri"/>
        <family val="2"/>
        <scheme val="minor"/>
      </rPr>
      <t xml:space="preserve">, what value is clearly attributable to </t>
    </r>
    <r>
      <rPr>
        <vertAlign val="superscript"/>
        <sz val="11"/>
        <color theme="1"/>
        <rFont val="Calibri"/>
        <family val="2"/>
        <scheme val="minor"/>
      </rPr>
      <t>99</t>
    </r>
    <r>
      <rPr>
        <sz val="11"/>
        <color theme="1"/>
        <rFont val="Calibri"/>
        <family val="2"/>
        <scheme val="minor"/>
      </rPr>
      <t xml:space="preserve">Mo production? </t>
    </r>
  </si>
  <si>
    <r>
      <t xml:space="preserve">The percentage (estimated) of reactor and facility usage that is for irradiation and handling of </t>
    </r>
    <r>
      <rPr>
        <vertAlign val="superscript"/>
        <sz val="11"/>
        <color theme="1"/>
        <rFont val="Calibri"/>
        <family val="2"/>
        <scheme val="minor"/>
      </rPr>
      <t>99</t>
    </r>
    <r>
      <rPr>
        <sz val="11"/>
        <color theme="1"/>
        <rFont val="Calibri"/>
        <family val="2"/>
        <scheme val="minor"/>
      </rPr>
      <t>Mo targets, based on business activity</t>
    </r>
  </si>
  <si>
    <r>
      <t>Say that 50% of reactor infrastructure can be clearly defined to specific research missions (e.g. beam lines, cold source, test loops, etc, as well as components for</t>
    </r>
    <r>
      <rPr>
        <vertAlign val="superscript"/>
        <sz val="11"/>
        <color theme="1"/>
        <rFont val="Calibri"/>
        <family val="2"/>
        <scheme val="minor"/>
      </rPr>
      <t xml:space="preserve"> 99</t>
    </r>
    <r>
      <rPr>
        <sz val="11"/>
        <color theme="1"/>
        <rFont val="Calibri"/>
        <family val="2"/>
        <scheme val="minor"/>
      </rPr>
      <t>Mo production). Operator should enter an appropriate percentage for their facility.</t>
    </r>
  </si>
  <si>
    <r>
      <t xml:space="preserve">Value should be moved directly to Variable E. Operator should enter the amount of equipment and infrastructure (of the capital costs noted above) that is clearly for irrigation rigs and other specific infrastructure for </t>
    </r>
    <r>
      <rPr>
        <vertAlign val="superscript"/>
        <sz val="11"/>
        <color theme="1"/>
        <rFont val="Calibri"/>
        <family val="2"/>
        <scheme val="minor"/>
      </rPr>
      <t>99</t>
    </r>
    <r>
      <rPr>
        <sz val="11"/>
        <color theme="1"/>
        <rFont val="Calibri"/>
        <family val="2"/>
        <scheme val="minor"/>
      </rPr>
      <t xml:space="preserve">Mo production. </t>
    </r>
  </si>
  <si>
    <r>
      <t>The value of x</t>
    </r>
    <r>
      <rPr>
        <vertAlign val="subscript"/>
        <sz val="11"/>
        <color theme="1"/>
        <rFont val="Calibri"/>
        <family val="2"/>
        <scheme val="minor"/>
      </rPr>
      <t xml:space="preserve">r </t>
    </r>
    <r>
      <rPr>
        <sz val="11"/>
        <color theme="1"/>
        <rFont val="Calibri"/>
        <family val="2"/>
        <scheme val="minor"/>
      </rPr>
      <t>(calculated from inputs)</t>
    </r>
  </si>
  <si>
    <r>
      <t>The value of y</t>
    </r>
    <r>
      <rPr>
        <vertAlign val="subscript"/>
        <sz val="11"/>
        <color theme="1"/>
        <rFont val="Calibri"/>
        <family val="2"/>
        <scheme val="minor"/>
      </rPr>
      <t xml:space="preserve">m </t>
    </r>
    <r>
      <rPr>
        <sz val="11"/>
        <color theme="1"/>
        <rFont val="Calibri"/>
        <family val="2"/>
        <scheme val="minor"/>
      </rPr>
      <t>(calculated from inputs)</t>
    </r>
  </si>
  <si>
    <t>The remaining general Overhead Costs that are not clearly attributable</t>
  </si>
  <si>
    <t>4. What is the value of General Overhead Costs that can be attributed to non-reactor based missions?</t>
  </si>
  <si>
    <t>5. What is the value of General Overhead Costs that can be attributed to non-specific missions within the reactor?</t>
  </si>
  <si>
    <r>
      <t>6. What is the value of General Overhead Costs that can be clearly attributed to the provision of</t>
    </r>
    <r>
      <rPr>
        <vertAlign val="superscript"/>
        <sz val="11"/>
        <color theme="1"/>
        <rFont val="Calibri"/>
        <family val="2"/>
        <scheme val="minor"/>
      </rPr>
      <t xml:space="preserve"> 99</t>
    </r>
    <r>
      <rPr>
        <sz val="11"/>
        <color theme="1"/>
        <rFont val="Calibri"/>
        <family val="2"/>
        <scheme val="minor"/>
      </rPr>
      <t>Mo irradiation services?</t>
    </r>
  </si>
  <si>
    <r>
      <t xml:space="preserve">Use this question if General Overhead Costs have not already subtracted these costs and attributed them to specific missions; Value should be moved directly to Variable E. The operator should enter the amount of the general costs that is clearly attributed to </t>
    </r>
    <r>
      <rPr>
        <vertAlign val="superscript"/>
        <sz val="11"/>
        <color theme="1"/>
        <rFont val="Calibri"/>
        <family val="2"/>
        <scheme val="minor"/>
      </rPr>
      <t>99</t>
    </r>
    <r>
      <rPr>
        <sz val="11"/>
        <color theme="1"/>
        <rFont val="Calibri"/>
        <family val="2"/>
        <scheme val="minor"/>
      </rPr>
      <t>Mo production.</t>
    </r>
  </si>
  <si>
    <t>Use this question if General Overhead Costs have not already subtracted these costs and attributed them to specific missions. The operator should enter the amount of the general costs that is clearly attributed to reactor operations and therefore moved to variable C.</t>
  </si>
  <si>
    <t>Operational costs were identified from First-Glance Overhead Costs</t>
  </si>
  <si>
    <r>
      <t xml:space="preserve">1. What is the value of General Operational Costs of the reactor that can be attributed to specific missions other than </t>
    </r>
    <r>
      <rPr>
        <vertAlign val="superscript"/>
        <sz val="11"/>
        <color theme="1"/>
        <rFont val="Calibri"/>
        <family val="2"/>
        <scheme val="minor"/>
      </rPr>
      <t>99</t>
    </r>
    <r>
      <rPr>
        <sz val="11"/>
        <color theme="1"/>
        <rFont val="Calibri"/>
        <family val="2"/>
        <scheme val="minor"/>
      </rPr>
      <t>Mo irradiation services?</t>
    </r>
  </si>
  <si>
    <r>
      <t xml:space="preserve">2. What is the value of General Operational Costs of the reactor that can be clearly attributed to the provision of </t>
    </r>
    <r>
      <rPr>
        <vertAlign val="superscript"/>
        <sz val="11"/>
        <color theme="1"/>
        <rFont val="Calibri"/>
        <family val="2"/>
        <scheme val="minor"/>
      </rPr>
      <t>99</t>
    </r>
    <r>
      <rPr>
        <sz val="11"/>
        <color theme="1"/>
        <rFont val="Calibri"/>
        <family val="2"/>
        <scheme val="minor"/>
      </rPr>
      <t>Mo irradiation services?</t>
    </r>
  </si>
  <si>
    <t>Final unattributable General Operational Costs of the reactor</t>
  </si>
  <si>
    <t>The total output value for all users within the reactor</t>
  </si>
  <si>
    <r>
      <t>The value of y</t>
    </r>
    <r>
      <rPr>
        <vertAlign val="subscript"/>
        <sz val="11"/>
        <color theme="1"/>
        <rFont val="Calibri"/>
        <family val="2"/>
        <scheme val="minor"/>
      </rPr>
      <t>m</t>
    </r>
  </si>
  <si>
    <r>
      <t xml:space="preserve">NOTE: This worksheet may require significant operator input in order to derive the appropriate variable for neutron utilisation. The operator must adapt the example below to the number of cycles in a year at their facility, the number of sites per user, and the quality factors of each site. </t>
    </r>
    <r>
      <rPr>
        <i/>
        <sz val="11"/>
        <color theme="1"/>
        <rFont val="Calibri"/>
        <family val="2"/>
        <scheme val="minor"/>
      </rPr>
      <t>Original values</t>
    </r>
    <r>
      <rPr>
        <sz val="11"/>
        <color theme="1"/>
        <rFont val="Calibri"/>
        <family val="2"/>
        <scheme val="minor"/>
      </rPr>
      <t xml:space="preserve"> presented are an example and in no way should be construed as representing accurate values. Maintain "</t>
    </r>
    <r>
      <rPr>
        <vertAlign val="superscript"/>
        <sz val="11"/>
        <color theme="1"/>
        <rFont val="Calibri"/>
        <family val="2"/>
        <scheme val="minor"/>
      </rPr>
      <t>99</t>
    </r>
    <r>
      <rPr>
        <sz val="11"/>
        <color theme="1"/>
        <rFont val="Calibri"/>
        <family val="2"/>
        <scheme val="minor"/>
      </rPr>
      <t>Mo user" in its current location (in the spreadsheet), given links to other worksheets.</t>
    </r>
  </si>
  <si>
    <t>Amortisation factor (derived from inputs and set formula)</t>
  </si>
  <si>
    <t>The costs  identified from First-Glance Overhead</t>
  </si>
  <si>
    <t>The costs identified from First-Glance Capital Third Refurbishment</t>
  </si>
  <si>
    <t>The costs identified from First-Glance Capital Second Refurbishment</t>
  </si>
  <si>
    <t>The costs identified from First-Glance Capital First Refurbishments</t>
  </si>
  <si>
    <t>The costs identified from First-Glance Capital Initial Investments</t>
  </si>
  <si>
    <t>The costs identified from First-Glance Operational</t>
  </si>
  <si>
    <t>The costs identified from First-Glance Decommissioning</t>
  </si>
  <si>
    <t>Value of Decommissioning Fund in year 0</t>
  </si>
  <si>
    <t>The factor to provide the annuity value</t>
  </si>
  <si>
    <r>
      <t xml:space="preserve">NOTE: This worksheet provides the results of the specific </t>
    </r>
    <r>
      <rPr>
        <vertAlign val="superscript"/>
        <sz val="11"/>
        <color theme="1"/>
        <rFont val="Calibri"/>
        <family val="2"/>
        <scheme val="minor"/>
      </rPr>
      <t>99</t>
    </r>
    <r>
      <rPr>
        <sz val="11"/>
        <color theme="1"/>
        <rFont val="Calibri"/>
        <family val="2"/>
        <scheme val="minor"/>
      </rPr>
      <t xml:space="preserve">Mo irradiation costs component of the irradiation facility. These calculations are based on the inputs provided in the "input information" worksheet as well as the additional category specific presented in this worksheet below. </t>
    </r>
    <r>
      <rPr>
        <i/>
        <sz val="11"/>
        <color theme="1"/>
        <rFont val="Calibri"/>
        <family val="2"/>
        <scheme val="minor"/>
      </rPr>
      <t>Original values</t>
    </r>
    <r>
      <rPr>
        <sz val="11"/>
        <color theme="1"/>
        <rFont val="Calibri"/>
        <family val="2"/>
        <scheme val="minor"/>
      </rPr>
      <t xml:space="preserve"> presented are an example and in no way should be construed as representing accurate values. </t>
    </r>
  </si>
  <si>
    <r>
      <t xml:space="preserve">NOTE: This worksheet provides the results of the decommissioning costs component of the irradiation facility. These calculations are based on the inputs provided in the "input information" worksheet as well as the additional category specific presented in this worksheet below. </t>
    </r>
    <r>
      <rPr>
        <i/>
        <sz val="11"/>
        <color theme="1"/>
        <rFont val="Calibri"/>
        <family val="2"/>
        <scheme val="minor"/>
      </rPr>
      <t>Original values</t>
    </r>
    <r>
      <rPr>
        <sz val="11"/>
        <color theme="1"/>
        <rFont val="Calibri"/>
        <family val="2"/>
        <scheme val="minor"/>
      </rPr>
      <t xml:space="preserve"> presented are an example and in no way should be construed as representing accurate values. </t>
    </r>
  </si>
  <si>
    <r>
      <t xml:space="preserve">NOTE: This worksheet provides the results of the general operational costs component of the irradiation facility. These calculations are based on the inputs provided in the "input information" worksheet as well as the additional category specific presented in this worksheet below. </t>
    </r>
    <r>
      <rPr>
        <i/>
        <sz val="11"/>
        <color theme="1"/>
        <rFont val="Calibri"/>
        <family val="2"/>
        <scheme val="minor"/>
      </rPr>
      <t>Original values</t>
    </r>
    <r>
      <rPr>
        <sz val="11"/>
        <color theme="1"/>
        <rFont val="Calibri"/>
        <family val="2"/>
        <scheme val="minor"/>
      </rPr>
      <t xml:space="preserve"> presented are an example and in no way should be construed as representing accurate values. </t>
    </r>
  </si>
  <si>
    <r>
      <t xml:space="preserve">NOTE: This worksheet provides the results of the general overhead costs component of the irradiation facility. These calculations are based on the inputs provided in the "input information" worksheet as well as the additional category specific presented in this worksheet below. </t>
    </r>
    <r>
      <rPr>
        <i/>
        <sz val="11"/>
        <color theme="1"/>
        <rFont val="Calibri"/>
        <family val="2"/>
        <scheme val="minor"/>
      </rPr>
      <t>Original values</t>
    </r>
    <r>
      <rPr>
        <sz val="11"/>
        <color theme="1"/>
        <rFont val="Calibri"/>
        <family val="2"/>
        <scheme val="minor"/>
      </rPr>
      <t xml:space="preserve"> presented are an example and in no way should be construed as representing accurate values. </t>
    </r>
  </si>
  <si>
    <r>
      <t xml:space="preserve">NOTE: This worksheet provides the results of the capital costs component of the irradiation facility. These calculations are based on the inputs provided in the "input information" worksheet as well as the additional category specific presented in this worksheet below. </t>
    </r>
    <r>
      <rPr>
        <i/>
        <sz val="11"/>
        <color theme="1"/>
        <rFont val="Calibri"/>
        <family val="2"/>
        <scheme val="minor"/>
      </rPr>
      <t>Original values</t>
    </r>
    <r>
      <rPr>
        <sz val="11"/>
        <color theme="1"/>
        <rFont val="Calibri"/>
        <family val="2"/>
        <scheme val="minor"/>
      </rPr>
      <t xml:space="preserve"> presented are an example and in no way should be construed as representing accurate values. </t>
    </r>
  </si>
  <si>
    <t>Amortisation period for each refurbishment should be the expected life of the refurbishment. In the original example, the refurbishment costs are presented as 5% of original capital, spent after each 10 years of operation (years 11, 21, 31), amortised over 10 years. Operators should enter their own values. If additional refurbishments are required, the model will have to be adjusted.</t>
  </si>
  <si>
    <t>6. Enter the annual licensing and regulatory costs</t>
  </si>
  <si>
    <r>
      <t xml:space="preserve">5. Enter any annual costs for  management of waste from </t>
    </r>
    <r>
      <rPr>
        <vertAlign val="superscript"/>
        <sz val="11"/>
        <color theme="1"/>
        <rFont val="Calibri"/>
        <family val="2"/>
        <scheme val="minor"/>
      </rPr>
      <t>99</t>
    </r>
    <r>
      <rPr>
        <sz val="11"/>
        <color theme="1"/>
        <rFont val="Calibri"/>
        <family val="2"/>
        <scheme val="minor"/>
      </rPr>
      <t>Mo extraction or purification (if applicable)</t>
    </r>
  </si>
  <si>
    <t>Capital costs of new reactor infrastructure</t>
  </si>
  <si>
    <t>End of amortisation period for refurbishment</t>
  </si>
  <si>
    <r>
      <t>Accounting for financing costs, this establishes the amount needed to be paid annually to funder, w</t>
    </r>
    <r>
      <rPr>
        <vertAlign val="subscript"/>
        <sz val="11"/>
        <color theme="1"/>
        <rFont val="Calibri"/>
        <family val="2"/>
        <scheme val="minor"/>
      </rPr>
      <t>6</t>
    </r>
    <r>
      <rPr>
        <sz val="11"/>
        <color theme="1"/>
        <rFont val="Calibri"/>
        <family val="2"/>
        <scheme val="minor"/>
      </rPr>
      <t xml:space="preserve"> = ([(1+r/t)^(v*t)]-1))/[(r/t)*((1+(r/t))^(v*t)], where v is the amortisation period of the refurbishment and t is the number of payment periods per year. This would be derived from the expected schedule of refurbishments and their amortisation period. Ideally, one refurbishment would be paid for before another planned refurbishment was undertaken. W</t>
    </r>
    <r>
      <rPr>
        <vertAlign val="subscript"/>
        <sz val="11"/>
        <color theme="1"/>
        <rFont val="Calibri"/>
        <family val="2"/>
        <scheme val="minor"/>
      </rPr>
      <t>6</t>
    </r>
    <r>
      <rPr>
        <sz val="11"/>
        <color theme="1"/>
        <rFont val="Calibri"/>
        <family val="2"/>
        <scheme val="minor"/>
      </rPr>
      <t xml:space="preserve"> could vary between refurbishments. For this example, see comment on refurbishment above.</t>
    </r>
  </si>
  <si>
    <r>
      <t xml:space="preserve">The output value for the </t>
    </r>
    <r>
      <rPr>
        <vertAlign val="superscript"/>
        <sz val="11"/>
        <color theme="1"/>
        <rFont val="Calibri"/>
        <family val="2"/>
        <scheme val="minor"/>
      </rPr>
      <t>99</t>
    </r>
    <r>
      <rPr>
        <sz val="11"/>
        <color theme="1"/>
        <rFont val="Calibri"/>
        <family val="2"/>
        <scheme val="minor"/>
      </rPr>
      <t>Mo irradiation "user"</t>
    </r>
  </si>
  <si>
    <t>Where a user's irradiation sites have an impact on other sites such that there is an impact on the reactor configuration (e.g., some channels kept empty to ensure proper irradiation for the user), these impacted sites should be attributed to the user.</t>
  </si>
  <si>
    <t>Formula: zD = [Dn/(1+r)n]*(1-z1)*z2*z3</t>
  </si>
  <si>
    <r>
      <t>The factor to provide the annuity value (derived fro</t>
    </r>
    <r>
      <rPr>
        <sz val="11"/>
        <rFont val="Calibri"/>
        <family val="2"/>
        <scheme val="minor"/>
      </rPr>
      <t>m inputted</t>
    </r>
    <r>
      <rPr>
        <sz val="11"/>
        <color theme="1"/>
        <rFont val="Calibri"/>
        <family val="2"/>
        <scheme val="minor"/>
      </rPr>
      <t xml:space="preserve"> values and set formula)</t>
    </r>
  </si>
  <si>
    <r>
      <t>6. Enter any annual costs or provisions for final disposal for wastes from</t>
    </r>
    <r>
      <rPr>
        <vertAlign val="superscript"/>
        <sz val="11"/>
        <color theme="1"/>
        <rFont val="Calibri"/>
        <family val="2"/>
        <scheme val="minor"/>
      </rPr>
      <t xml:space="preserve"> 99</t>
    </r>
    <r>
      <rPr>
        <sz val="11"/>
        <color theme="1"/>
        <rFont val="Calibri"/>
        <family val="2"/>
        <scheme val="minor"/>
      </rPr>
      <t>Mo extraction or purification (if applicable)</t>
    </r>
  </si>
  <si>
    <r>
      <t xml:space="preserve">Identified specific </t>
    </r>
    <r>
      <rPr>
        <vertAlign val="superscript"/>
        <sz val="11"/>
        <color theme="1"/>
        <rFont val="Calibri"/>
        <family val="2"/>
        <scheme val="minor"/>
      </rPr>
      <t>99</t>
    </r>
    <r>
      <rPr>
        <sz val="11"/>
        <color theme="1"/>
        <rFont val="Calibri"/>
        <family val="2"/>
        <scheme val="minor"/>
      </rPr>
      <t>Mo irradiation costs "at a first-glance" are identified here;  however, given attribution to specific missions from other sections, this amount will end up being higher (see E-99Mo Specific worksheet). If a reactor operator deals with processing wastes, these costs should be directly included in E. Operators can add additional sub-categories that are consistent with this category; ensure that the Total includes the costs (by adjusting the Sum equation). If a specific capital cost is included in part A above, do not include it here as well; it will be picked up in additional questions on the A-Capital worksheet.</t>
    </r>
  </si>
  <si>
    <t>A fuel channel would be considered an unused site as the costs of the fuel is already calculated as a separate cost item and the site is not available for other purposes. The cost would be divided among the various users using the variable y.</t>
  </si>
  <si>
    <t>5. Enter the annual provisions set aside for final waste disposal, or a direct cost if available</t>
  </si>
  <si>
    <t>1. What is the percentage of ancillary equipment and related infrastructure that is clearly attributable to specific missions?</t>
  </si>
  <si>
    <t>1. What is the percentage of the refurbishment ancillary equipment and related infrastructure that is clearly attributable to specific missions?</t>
  </si>
  <si>
    <t>If any additional sub-categories were identified on the "input information" worksheet, they will be included in the total but not shown in this subcost list</t>
  </si>
  <si>
    <t>Outage reserve capacity (ORC) is considered to be a user, not an unused site. The costs of the ORC should be fully recovered through contractual agreements with processors who are paying for ORC.</t>
  </si>
  <si>
    <r>
      <t xml:space="preserve">Use this question if General Operational Costs have not already subtracted these costs and attributed them to specific missions. The operator should enter the amount of the general costs that is clearly attributed to specific missions other than </t>
    </r>
    <r>
      <rPr>
        <vertAlign val="superscript"/>
        <sz val="11"/>
        <color theme="1"/>
        <rFont val="Calibri"/>
        <family val="2"/>
        <scheme val="minor"/>
      </rPr>
      <t>99</t>
    </r>
    <r>
      <rPr>
        <sz val="11"/>
        <color theme="1"/>
        <rFont val="Calibri"/>
        <family val="2"/>
        <scheme val="minor"/>
      </rPr>
      <t>Mo irradiation services; these would then be attributed to those other missions in their full-cost recovery calculations.</t>
    </r>
  </si>
  <si>
    <r>
      <t>Use this question if General Operational Costs of the reactor have not already subtracted these costs and attributed them to specific missions; Value should be moved directly to Variable E. The operator should enter the amount of the general costs that is clearly attributed to 99Mo irradiation services</t>
    </r>
    <r>
      <rPr>
        <sz val="11"/>
        <color theme="1"/>
        <rFont val="Calibri"/>
        <family val="2"/>
        <scheme val="minor"/>
      </rPr>
      <t>.</t>
    </r>
  </si>
  <si>
    <r>
      <t>The operator should enter the percentage of ancillary equipment and related infrastructure that is clearly attributed to specific missions (e.g. beam lines, cold source, test loops, etc, as well as components for</t>
    </r>
    <r>
      <rPr>
        <vertAlign val="superscript"/>
        <sz val="11"/>
        <color theme="1"/>
        <rFont val="Calibri"/>
        <family val="2"/>
        <scheme val="minor"/>
      </rPr>
      <t xml:space="preserve"> 99</t>
    </r>
    <r>
      <rPr>
        <sz val="11"/>
        <color theme="1"/>
        <rFont val="Calibri"/>
        <family val="2"/>
        <scheme val="minor"/>
      </rPr>
      <t>Mo production)</t>
    </r>
  </si>
  <si>
    <r>
      <t xml:space="preserve">This workbook has been developed to aid reactor and alternative technology operators identify their full costs associated with the provision of irradiation services for </t>
    </r>
    <r>
      <rPr>
        <vertAlign val="superscript"/>
        <sz val="11"/>
        <color theme="1"/>
        <rFont val="Calibri"/>
        <family val="2"/>
        <scheme val="minor"/>
      </rPr>
      <t>99</t>
    </r>
    <r>
      <rPr>
        <sz val="11"/>
        <color theme="1"/>
        <rFont val="Calibri"/>
        <family val="2"/>
        <scheme val="minor"/>
      </rPr>
      <t xml:space="preserve">Mo production. The workbook is a tool to accompany the guidance document, which provides additional information on the categories and the methodology; the document can be found at www.oecd-nea.org/med-radio. This worksheet is the main input sheet for operators. The following sheets provide the separate components and require some additional input from operators. </t>
    </r>
    <r>
      <rPr>
        <i/>
        <sz val="11"/>
        <color theme="1"/>
        <rFont val="Calibri"/>
        <family val="2"/>
        <scheme val="minor"/>
      </rPr>
      <t>Original values</t>
    </r>
    <r>
      <rPr>
        <sz val="11"/>
        <color theme="1"/>
        <rFont val="Calibri"/>
        <family val="2"/>
        <scheme val="minor"/>
      </rPr>
      <t xml:space="preserve"> presented are an example and in no way should be construed as representing accurate values. Operators should enter their own values in every green box. Although the currency symbol presented is Euros, any currency can be used. All orange cells are locked (except in the neutron utilisation worksheet) to protect the integrity of the formulas and calculations; if operators need to adjust the formulas, please contact the NEA HLG-MR Secretariat for the password.</t>
    </r>
  </si>
</sst>
</file>

<file path=xl/styles.xml><?xml version="1.0" encoding="utf-8"?>
<styleSheet xmlns="http://schemas.openxmlformats.org/spreadsheetml/2006/main">
  <numFmts count="5">
    <numFmt numFmtId="44" formatCode="_(&quot;€&quot;* #,##0.00_);_(&quot;€&quot;* \(#,##0.00\);_(&quot;€&quot;* &quot;-&quot;??_);_(@_)"/>
    <numFmt numFmtId="164" formatCode="&quot;€&quot;#,##0.00"/>
    <numFmt numFmtId="165" formatCode="0.000%"/>
    <numFmt numFmtId="166" formatCode="0.0000000"/>
    <numFmt numFmtId="167" formatCode="0.0"/>
  </numFmts>
  <fonts count="18">
    <font>
      <sz val="11"/>
      <color theme="1"/>
      <name val="Calibri"/>
      <family val="2"/>
      <scheme val="minor"/>
    </font>
    <font>
      <b/>
      <sz val="11"/>
      <color theme="1"/>
      <name val="Calibri"/>
      <family val="2"/>
      <scheme val="minor"/>
    </font>
    <font>
      <sz val="10"/>
      <name val="Arial"/>
      <family val="2"/>
    </font>
    <font>
      <u/>
      <sz val="11"/>
      <color theme="1"/>
      <name val="Calibri"/>
      <family val="2"/>
      <scheme val="minor"/>
    </font>
    <font>
      <vertAlign val="superscript"/>
      <sz val="11"/>
      <color theme="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1"/>
      <name val="Calibri"/>
      <family val="2"/>
      <scheme val="minor"/>
    </font>
    <font>
      <b/>
      <sz val="11"/>
      <color theme="1"/>
      <name val="Calibri"/>
      <family val="2"/>
    </font>
    <font>
      <u/>
      <vertAlign val="subscript"/>
      <sz val="11"/>
      <color theme="1"/>
      <name val="Calibri"/>
      <family val="2"/>
      <scheme val="minor"/>
    </font>
    <font>
      <u/>
      <vertAlign val="superscript"/>
      <sz val="11"/>
      <color theme="1"/>
      <name val="Calibri"/>
      <family val="2"/>
      <scheme val="minor"/>
    </font>
    <font>
      <b/>
      <u/>
      <vertAlign val="superscript"/>
      <sz val="11"/>
      <color theme="1"/>
      <name val="Calibri"/>
      <family val="2"/>
      <scheme val="minor"/>
    </font>
    <font>
      <b/>
      <vertAlign val="subscript"/>
      <sz val="11"/>
      <color theme="1"/>
      <name val="Calibri"/>
      <family val="2"/>
    </font>
    <font>
      <b/>
      <vertAlign val="superscript"/>
      <sz val="11"/>
      <color theme="1"/>
      <name val="Calibri"/>
      <family val="2"/>
      <scheme val="minor"/>
    </font>
    <font>
      <b/>
      <vertAlign val="superscript"/>
      <sz val="11"/>
      <color theme="1"/>
      <name val="Calibri"/>
      <family val="2"/>
    </font>
    <font>
      <i/>
      <sz val="11"/>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C000"/>
        <bgColor indexed="64"/>
      </patternFill>
    </fill>
  </fills>
  <borders count="32">
    <border>
      <left/>
      <right/>
      <top/>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2" fillId="0" borderId="0"/>
    <xf numFmtId="9" fontId="5" fillId="0" borderId="0" applyFont="0" applyFill="0" applyBorder="0" applyAlignment="0" applyProtection="0"/>
  </cellStyleXfs>
  <cellXfs count="347">
    <xf numFmtId="0" fontId="0" fillId="0" borderId="0" xfId="0"/>
    <xf numFmtId="0" fontId="0" fillId="0" borderId="0" xfId="0" applyBorder="1"/>
    <xf numFmtId="0" fontId="0" fillId="0" borderId="2" xfId="0" applyBorder="1"/>
    <xf numFmtId="0" fontId="0" fillId="0" borderId="7" xfId="0" applyBorder="1"/>
    <xf numFmtId="0" fontId="0" fillId="0" borderId="0" xfId="0" applyAlignment="1">
      <alignment wrapText="1"/>
    </xf>
    <xf numFmtId="164" fontId="0" fillId="0" borderId="0" xfId="0" applyNumberFormat="1"/>
    <xf numFmtId="0" fontId="1" fillId="0" borderId="0" xfId="0" applyFont="1"/>
    <xf numFmtId="0" fontId="0" fillId="0" borderId="0" xfId="0" applyBorder="1" applyAlignment="1">
      <alignment wrapText="1"/>
    </xf>
    <xf numFmtId="0" fontId="0" fillId="0" borderId="0" xfId="0"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3" fillId="0" borderId="0" xfId="0" applyFont="1" applyBorder="1" applyAlignment="1">
      <alignment horizontal="left"/>
    </xf>
    <xf numFmtId="0" fontId="3" fillId="0" borderId="0" xfId="0" applyFont="1" applyAlignment="1">
      <alignment vertical="top" wrapText="1"/>
    </xf>
    <xf numFmtId="0" fontId="0" fillId="0" borderId="0" xfId="0" applyBorder="1" applyAlignment="1">
      <alignment horizontal="left" vertical="center" wrapText="1"/>
    </xf>
    <xf numFmtId="0" fontId="0" fillId="0" borderId="0" xfId="0" applyBorder="1" applyAlignment="1">
      <alignment vertical="center" wrapText="1"/>
    </xf>
    <xf numFmtId="0" fontId="3" fillId="0" borderId="0" xfId="0" applyFont="1" applyAlignment="1"/>
    <xf numFmtId="0" fontId="0" fillId="0" borderId="0" xfId="0" applyBorder="1" applyAlignment="1">
      <alignment vertical="center"/>
    </xf>
    <xf numFmtId="0" fontId="8" fillId="0" borderId="0" xfId="0" applyFont="1"/>
    <xf numFmtId="164" fontId="0" fillId="0" borderId="0" xfId="0" applyNumberFormat="1" applyBorder="1" applyAlignment="1">
      <alignment wrapText="1"/>
    </xf>
    <xf numFmtId="4" fontId="0" fillId="0" borderId="0" xfId="0" applyNumberFormat="1" applyBorder="1" applyAlignment="1">
      <alignment wrapText="1"/>
    </xf>
    <xf numFmtId="4" fontId="0" fillId="0" borderId="0" xfId="0" applyNumberFormat="1" applyBorder="1"/>
    <xf numFmtId="0" fontId="1" fillId="0" borderId="0" xfId="0" applyFont="1" applyBorder="1" applyAlignment="1">
      <alignment wrapText="1"/>
    </xf>
    <xf numFmtId="0" fontId="3" fillId="0" borderId="0" xfId="0" applyFont="1" applyAlignment="1">
      <alignment horizontal="center"/>
    </xf>
    <xf numFmtId="0" fontId="0" fillId="0" borderId="0" xfId="0" applyAlignment="1">
      <alignment horizontal="center"/>
    </xf>
    <xf numFmtId="0" fontId="0" fillId="0" borderId="0" xfId="0" applyBorder="1" applyAlignment="1">
      <alignment wrapText="1"/>
    </xf>
    <xf numFmtId="0" fontId="0" fillId="0" borderId="0" xfId="0" quotePrefix="1" applyAlignment="1">
      <alignment vertical="center" wrapText="1"/>
    </xf>
    <xf numFmtId="0" fontId="0" fillId="0" borderId="0" xfId="0" applyAlignment="1">
      <alignment vertical="center" wrapText="1"/>
    </xf>
    <xf numFmtId="164" fontId="0" fillId="0" borderId="0" xfId="0" applyNumberFormat="1" applyFill="1" applyBorder="1"/>
    <xf numFmtId="0" fontId="0" fillId="0" borderId="5" xfId="0" applyFill="1" applyBorder="1" applyAlignment="1">
      <alignment vertical="center" wrapText="1"/>
    </xf>
    <xf numFmtId="0" fontId="0" fillId="0" borderId="0" xfId="0" applyBorder="1" applyAlignment="1"/>
    <xf numFmtId="0" fontId="6" fillId="0" borderId="0" xfId="0" applyFont="1" applyAlignment="1">
      <alignment horizontal="center" vertical="center"/>
    </xf>
    <xf numFmtId="0" fontId="0" fillId="0" borderId="0" xfId="0" applyFill="1" applyBorder="1"/>
    <xf numFmtId="0" fontId="1" fillId="0" borderId="0" xfId="0" applyFont="1" applyFill="1" applyBorder="1"/>
    <xf numFmtId="164" fontId="0" fillId="0" borderId="0" xfId="0" applyNumberFormat="1" applyFill="1" applyBorder="1" applyAlignment="1">
      <alignment vertical="center"/>
    </xf>
    <xf numFmtId="0" fontId="1" fillId="0" borderId="0" xfId="0" applyFont="1" applyFill="1"/>
    <xf numFmtId="0" fontId="8" fillId="0" borderId="0" xfId="0" applyFont="1" applyFill="1"/>
    <xf numFmtId="0" fontId="1" fillId="0" borderId="0" xfId="0" applyFont="1" applyBorder="1" applyAlignment="1">
      <alignment vertical="center" wrapText="1"/>
    </xf>
    <xf numFmtId="0" fontId="0" fillId="0" borderId="0" xfId="0" applyFill="1" applyAlignment="1">
      <alignment vertical="center"/>
    </xf>
    <xf numFmtId="0" fontId="0" fillId="0" borderId="0" xfId="0" applyFill="1" applyAlignment="1">
      <alignment horizontal="center" vertical="center"/>
    </xf>
    <xf numFmtId="164" fontId="0" fillId="0" borderId="0" xfId="2" applyNumberFormat="1" applyFont="1" applyFill="1" applyAlignment="1">
      <alignment horizontal="center" vertical="center"/>
    </xf>
    <xf numFmtId="0" fontId="0" fillId="0" borderId="0" xfId="0" applyFill="1"/>
    <xf numFmtId="164" fontId="0" fillId="0" borderId="0" xfId="0" applyNumberFormat="1" applyFill="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3" fillId="0" borderId="0" xfId="0" applyFont="1" applyAlignment="1">
      <alignment wrapText="1"/>
    </xf>
    <xf numFmtId="9" fontId="0" fillId="0" borderId="0" xfId="2" applyFont="1" applyBorder="1"/>
    <xf numFmtId="0" fontId="0" fillId="0" borderId="5" xfId="0" applyBorder="1" applyAlignment="1">
      <alignment horizontal="center"/>
    </xf>
    <xf numFmtId="0" fontId="0" fillId="0" borderId="6" xfId="0" applyBorder="1" applyAlignment="1">
      <alignment horizontal="center"/>
    </xf>
    <xf numFmtId="0" fontId="0" fillId="3" borderId="8" xfId="0" applyFill="1" applyBorder="1"/>
    <xf numFmtId="164" fontId="0" fillId="3" borderId="0" xfId="0" applyNumberFormat="1" applyFill="1" applyAlignment="1">
      <alignment horizontal="center" vertical="center"/>
    </xf>
    <xf numFmtId="0" fontId="0" fillId="3" borderId="0" xfId="0" applyNumberFormat="1" applyFill="1" applyAlignment="1">
      <alignment horizontal="center" vertical="center"/>
    </xf>
    <xf numFmtId="9" fontId="0" fillId="3" borderId="0" xfId="2" applyFont="1" applyFill="1" applyAlignment="1">
      <alignment horizontal="center" vertical="center"/>
    </xf>
    <xf numFmtId="10" fontId="0" fillId="3" borderId="0" xfId="2" applyNumberFormat="1" applyFont="1" applyFill="1" applyAlignment="1">
      <alignment horizontal="center" vertical="center"/>
    </xf>
    <xf numFmtId="0" fontId="0" fillId="3" borderId="0" xfId="2" applyNumberFormat="1" applyFont="1" applyFill="1" applyAlignment="1">
      <alignment horizontal="center" vertical="center"/>
    </xf>
    <xf numFmtId="165" fontId="0" fillId="3" borderId="0" xfId="2" applyNumberFormat="1" applyFont="1" applyFill="1" applyAlignment="1">
      <alignment horizontal="center" vertical="center"/>
    </xf>
    <xf numFmtId="10" fontId="0" fillId="3" borderId="0" xfId="0" applyNumberFormat="1" applyFill="1" applyAlignment="1">
      <alignment horizontal="center" vertical="center"/>
    </xf>
    <xf numFmtId="0" fontId="0" fillId="0" borderId="0" xfId="2" applyNumberFormat="1" applyFont="1" applyFill="1" applyAlignment="1">
      <alignment horizontal="center" vertical="center" wrapText="1"/>
    </xf>
    <xf numFmtId="0" fontId="0" fillId="0" borderId="0" xfId="0" applyNumberFormat="1" applyFill="1" applyAlignment="1">
      <alignment horizontal="center" vertical="center" wrapText="1"/>
    </xf>
    <xf numFmtId="0" fontId="0" fillId="3" borderId="0" xfId="2" applyNumberFormat="1" applyFont="1" applyFill="1" applyAlignment="1">
      <alignment horizontal="center" vertical="center" wrapText="1"/>
    </xf>
    <xf numFmtId="0" fontId="0" fillId="3" borderId="0" xfId="0" applyNumberFormat="1" applyFill="1" applyAlignment="1">
      <alignment horizontal="center" vertical="center" wrapText="1"/>
    </xf>
    <xf numFmtId="164" fontId="0" fillId="3" borderId="0" xfId="2" applyNumberFormat="1" applyFont="1" applyFill="1" applyAlignment="1">
      <alignment horizontal="center" vertical="center"/>
    </xf>
    <xf numFmtId="164" fontId="0" fillId="3" borderId="0" xfId="2" applyNumberFormat="1" applyFont="1" applyFill="1" applyAlignment="1">
      <alignment horizontal="center" vertical="center" wrapText="1"/>
    </xf>
    <xf numFmtId="166" fontId="0" fillId="3" borderId="0" xfId="2" applyNumberFormat="1" applyFont="1" applyFill="1" applyAlignment="1">
      <alignment horizontal="center" vertical="center" wrapText="1"/>
    </xf>
    <xf numFmtId="164" fontId="0" fillId="3" borderId="0" xfId="0" applyNumberFormat="1" applyFill="1" applyAlignment="1">
      <alignment horizontal="center" vertical="center" wrapText="1"/>
    </xf>
    <xf numFmtId="166" fontId="0" fillId="0" borderId="0" xfId="2" applyNumberFormat="1" applyFont="1" applyFill="1" applyAlignment="1">
      <alignment horizontal="center" vertical="center" wrapText="1"/>
    </xf>
    <xf numFmtId="0" fontId="0" fillId="3" borderId="0" xfId="0" applyNumberFormat="1" applyFill="1" applyAlignment="1">
      <alignment horizontal="center"/>
    </xf>
    <xf numFmtId="164" fontId="0" fillId="3" borderId="0" xfId="0" applyNumberFormat="1" applyFill="1" applyAlignment="1">
      <alignment horizontal="center"/>
    </xf>
    <xf numFmtId="0" fontId="0" fillId="0" borderId="0" xfId="0" applyFill="1" applyAlignment="1">
      <alignment vertical="center" wrapText="1"/>
    </xf>
    <xf numFmtId="0" fontId="0" fillId="0" borderId="0" xfId="2" applyNumberFormat="1" applyFont="1" applyFill="1" applyAlignment="1">
      <alignment horizontal="center" vertical="center"/>
    </xf>
    <xf numFmtId="0" fontId="0" fillId="0" borderId="0" xfId="0" applyFill="1" applyBorder="1" applyAlignment="1">
      <alignment horizontal="left" vertical="center" wrapText="1"/>
    </xf>
    <xf numFmtId="0" fontId="4" fillId="0" borderId="0" xfId="0" applyFont="1" applyAlignment="1">
      <alignment horizontal="center" vertical="center" wrapText="1"/>
    </xf>
    <xf numFmtId="0" fontId="0" fillId="0" borderId="0" xfId="0" applyAlignment="1">
      <alignment horizontal="center"/>
    </xf>
    <xf numFmtId="0" fontId="0" fillId="0" borderId="0" xfId="0" applyFill="1" applyBorder="1" applyAlignment="1">
      <alignment horizontal="left" vertical="center" wrapText="1"/>
    </xf>
    <xf numFmtId="0" fontId="0" fillId="0" borderId="0" xfId="0" applyFont="1" applyAlignment="1">
      <alignment vertical="top" wrapText="1"/>
    </xf>
    <xf numFmtId="0" fontId="0" fillId="0" borderId="0" xfId="0" applyFill="1" applyBorder="1" applyAlignment="1">
      <alignment horizontal="left" vertical="center" wrapText="1"/>
    </xf>
    <xf numFmtId="0" fontId="0" fillId="3" borderId="22" xfId="0" applyFill="1" applyBorder="1" applyAlignment="1">
      <alignment wrapText="1"/>
    </xf>
    <xf numFmtId="0" fontId="0" fillId="3" borderId="15" xfId="0" applyFill="1" applyBorder="1" applyAlignment="1">
      <alignment wrapText="1"/>
    </xf>
    <xf numFmtId="0" fontId="0" fillId="3" borderId="23" xfId="0" applyFill="1" applyBorder="1" applyAlignment="1">
      <alignment wrapText="1"/>
    </xf>
    <xf numFmtId="164" fontId="0" fillId="3" borderId="15" xfId="0" applyNumberFormat="1" applyFill="1" applyBorder="1" applyAlignment="1">
      <alignment wrapText="1"/>
    </xf>
    <xf numFmtId="164" fontId="0" fillId="3" borderId="23" xfId="0" applyNumberFormat="1" applyFill="1" applyBorder="1" applyAlignment="1">
      <alignment wrapText="1"/>
    </xf>
    <xf numFmtId="0" fontId="0" fillId="3" borderId="1" xfId="0" applyFill="1" applyBorder="1" applyAlignment="1">
      <alignment wrapText="1"/>
    </xf>
    <xf numFmtId="0" fontId="0" fillId="3" borderId="0" xfId="0" applyFill="1" applyBorder="1" applyAlignment="1">
      <alignment wrapText="1"/>
    </xf>
    <xf numFmtId="0" fontId="0" fillId="3" borderId="17" xfId="0" applyFill="1" applyBorder="1" applyAlignment="1">
      <alignment wrapText="1"/>
    </xf>
    <xf numFmtId="0" fontId="0" fillId="3" borderId="1" xfId="0" applyFill="1" applyBorder="1"/>
    <xf numFmtId="0" fontId="0" fillId="3" borderId="0" xfId="0" applyFill="1" applyBorder="1"/>
    <xf numFmtId="164" fontId="0" fillId="3" borderId="0" xfId="0" applyNumberFormat="1" applyFill="1" applyBorder="1"/>
    <xf numFmtId="164" fontId="0" fillId="3" borderId="17" xfId="0" applyNumberFormat="1" applyFill="1" applyBorder="1"/>
    <xf numFmtId="164" fontId="0" fillId="3" borderId="0" xfId="0" applyNumberFormat="1" applyFill="1" applyBorder="1" applyAlignment="1">
      <alignment vertical="center"/>
    </xf>
    <xf numFmtId="164" fontId="0" fillId="3" borderId="17" xfId="0" applyNumberFormat="1" applyFill="1" applyBorder="1" applyAlignment="1">
      <alignment horizontal="center"/>
    </xf>
    <xf numFmtId="0" fontId="0" fillId="3" borderId="9" xfId="0" applyFill="1" applyBorder="1"/>
    <xf numFmtId="164" fontId="0" fillId="3" borderId="9" xfId="0" applyNumberFormat="1" applyFill="1" applyBorder="1" applyAlignment="1">
      <alignment vertical="center"/>
    </xf>
    <xf numFmtId="164" fontId="0" fillId="3" borderId="9" xfId="0" applyNumberFormat="1" applyFill="1" applyBorder="1"/>
    <xf numFmtId="164" fontId="0" fillId="3" borderId="18" xfId="0" applyNumberFormat="1" applyFill="1" applyBorder="1" applyAlignment="1">
      <alignment horizontal="center"/>
    </xf>
    <xf numFmtId="0" fontId="0" fillId="3" borderId="17" xfId="0" applyFill="1" applyBorder="1"/>
    <xf numFmtId="164" fontId="0" fillId="3" borderId="18" xfId="0" applyNumberFormat="1" applyFill="1" applyBorder="1"/>
    <xf numFmtId="0" fontId="0" fillId="3" borderId="4" xfId="0" applyFill="1" applyBorder="1" applyAlignment="1">
      <alignment wrapText="1"/>
    </xf>
    <xf numFmtId="0" fontId="0" fillId="3" borderId="5" xfId="0" applyFill="1" applyBorder="1" applyAlignment="1">
      <alignment wrapText="1"/>
    </xf>
    <xf numFmtId="0" fontId="0" fillId="3" borderId="24" xfId="0" applyFill="1" applyBorder="1" applyAlignment="1">
      <alignment wrapText="1"/>
    </xf>
    <xf numFmtId="0" fontId="0" fillId="3" borderId="30" xfId="0" applyFill="1" applyBorder="1" applyAlignment="1">
      <alignment wrapText="1"/>
    </xf>
    <xf numFmtId="0" fontId="0" fillId="3" borderId="11" xfId="0" applyFill="1" applyBorder="1" applyAlignment="1">
      <alignment wrapText="1"/>
    </xf>
    <xf numFmtId="0" fontId="0" fillId="3" borderId="31" xfId="0" applyFill="1" applyBorder="1" applyAlignment="1">
      <alignment wrapText="1"/>
    </xf>
    <xf numFmtId="4" fontId="0" fillId="3" borderId="15" xfId="0" applyNumberFormat="1" applyFill="1" applyBorder="1" applyAlignment="1">
      <alignment wrapText="1"/>
    </xf>
    <xf numFmtId="4" fontId="0" fillId="3" borderId="23" xfId="0" applyNumberFormat="1" applyFill="1" applyBorder="1" applyAlignment="1">
      <alignment wrapText="1"/>
    </xf>
    <xf numFmtId="4" fontId="0" fillId="3" borderId="17" xfId="0" applyNumberFormat="1" applyFill="1" applyBorder="1"/>
    <xf numFmtId="4" fontId="0" fillId="3" borderId="18" xfId="0" applyNumberFormat="1" applyFill="1" applyBorder="1"/>
    <xf numFmtId="0" fontId="1" fillId="0" borderId="0" xfId="0" applyFont="1" applyAlignment="1">
      <alignment vertical="center"/>
    </xf>
    <xf numFmtId="164" fontId="1" fillId="3" borderId="0" xfId="0" applyNumberFormat="1" applyFont="1" applyFill="1" applyAlignment="1">
      <alignment horizontal="center" vertical="center"/>
    </xf>
    <xf numFmtId="0" fontId="0" fillId="0" borderId="0" xfId="0" applyFill="1" applyAlignment="1">
      <alignment wrapText="1"/>
    </xf>
    <xf numFmtId="0" fontId="0" fillId="3" borderId="0" xfId="0" applyFill="1" applyAlignment="1">
      <alignment horizontal="center"/>
    </xf>
    <xf numFmtId="0" fontId="0" fillId="0" borderId="0" xfId="0" applyAlignment="1">
      <alignment horizontal="center"/>
    </xf>
    <xf numFmtId="9" fontId="0" fillId="3" borderId="3" xfId="2" applyFont="1" applyFill="1" applyBorder="1"/>
    <xf numFmtId="0" fontId="1" fillId="0" borderId="0" xfId="0" applyFont="1" applyBorder="1" applyAlignment="1">
      <alignment horizontal="center"/>
    </xf>
    <xf numFmtId="9" fontId="0" fillId="2" borderId="0" xfId="2" applyFont="1" applyFill="1" applyAlignment="1" applyProtection="1">
      <alignment horizontal="center" vertical="center" wrapText="1"/>
      <protection locked="0"/>
    </xf>
    <xf numFmtId="164" fontId="0" fillId="2" borderId="0" xfId="0" applyNumberFormat="1" applyFill="1" applyAlignment="1" applyProtection="1">
      <alignment horizontal="center" vertical="center" wrapText="1"/>
      <protection locked="0"/>
    </xf>
    <xf numFmtId="9" fontId="0" fillId="2" borderId="0" xfId="2" applyFont="1" applyFill="1" applyAlignment="1" applyProtection="1">
      <alignment horizontal="center" vertical="center"/>
      <protection locked="0"/>
    </xf>
    <xf numFmtId="9" fontId="0" fillId="2" borderId="0" xfId="2" applyNumberFormat="1" applyFont="1" applyFill="1" applyAlignment="1" applyProtection="1">
      <alignment horizontal="center" vertical="center"/>
      <protection locked="0"/>
    </xf>
    <xf numFmtId="44" fontId="0" fillId="2" borderId="0" xfId="2" applyNumberFormat="1" applyFont="1" applyFill="1" applyAlignment="1" applyProtection="1">
      <alignment horizontal="center" vertical="center"/>
      <protection locked="0"/>
    </xf>
    <xf numFmtId="9" fontId="0" fillId="3" borderId="0" xfId="0" applyNumberFormat="1" applyFill="1" applyAlignment="1" applyProtection="1">
      <alignment horizontal="center" vertical="center"/>
    </xf>
    <xf numFmtId="9" fontId="0" fillId="3" borderId="0" xfId="0" applyNumberFormat="1" applyFill="1" applyAlignment="1">
      <alignment horizontal="center" vertical="center"/>
    </xf>
    <xf numFmtId="0" fontId="0" fillId="2" borderId="0" xfId="2" applyNumberFormat="1" applyFont="1" applyFill="1" applyAlignment="1" applyProtection="1">
      <alignment horizontal="center" vertical="center" wrapText="1"/>
      <protection locked="0"/>
    </xf>
    <xf numFmtId="0" fontId="0" fillId="2" borderId="0" xfId="0" applyNumberFormat="1" applyFill="1" applyAlignment="1" applyProtection="1">
      <alignment horizontal="center" vertical="center" wrapText="1"/>
      <protection locked="0"/>
    </xf>
    <xf numFmtId="0" fontId="0" fillId="2" borderId="0" xfId="2" applyNumberFormat="1" applyFont="1" applyFill="1" applyAlignment="1" applyProtection="1">
      <alignment horizontal="center" vertical="center"/>
      <protection locked="0"/>
    </xf>
    <xf numFmtId="164" fontId="0" fillId="2" borderId="0" xfId="0" applyNumberFormat="1" applyFill="1" applyAlignment="1" applyProtection="1">
      <alignment horizontal="center" vertical="center"/>
      <protection locked="0"/>
    </xf>
    <xf numFmtId="0" fontId="0" fillId="2" borderId="2" xfId="0" applyFill="1" applyBorder="1" applyProtection="1">
      <protection locked="0"/>
    </xf>
    <xf numFmtId="0" fontId="0" fillId="2" borderId="0" xfId="0" applyFill="1" applyBorder="1" applyProtection="1">
      <protection locked="0"/>
    </xf>
    <xf numFmtId="0" fontId="1" fillId="3" borderId="0" xfId="0" applyFont="1" applyFill="1" applyBorder="1" applyProtection="1">
      <protection locked="0"/>
    </xf>
    <xf numFmtId="167" fontId="0" fillId="3" borderId="3" xfId="0" applyNumberFormat="1" applyFill="1" applyBorder="1" applyProtection="1">
      <protection locked="0"/>
    </xf>
    <xf numFmtId="0" fontId="0" fillId="0" borderId="7" xfId="0" applyBorder="1" applyProtection="1">
      <protection locked="0"/>
    </xf>
    <xf numFmtId="1" fontId="1" fillId="3" borderId="5" xfId="0" applyNumberFormat="1" applyFont="1" applyFill="1" applyBorder="1" applyProtection="1">
      <protection locked="0"/>
    </xf>
    <xf numFmtId="167" fontId="0" fillId="3" borderId="6" xfId="0" applyNumberFormat="1" applyFill="1" applyBorder="1" applyProtection="1">
      <protection locked="0"/>
    </xf>
    <xf numFmtId="0" fontId="0" fillId="0" borderId="0" xfId="0" applyProtection="1">
      <protection locked="0"/>
    </xf>
    <xf numFmtId="0" fontId="0" fillId="0" borderId="2" xfId="0" applyBorder="1" applyProtection="1">
      <protection locked="0"/>
    </xf>
    <xf numFmtId="0" fontId="0" fillId="0" borderId="0" xfId="0" applyBorder="1" applyProtection="1">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167" fontId="0" fillId="2" borderId="0" xfId="0" applyNumberFormat="1" applyFill="1" applyBorder="1" applyProtection="1">
      <protection locked="0"/>
    </xf>
    <xf numFmtId="167" fontId="1" fillId="3" borderId="0" xfId="0" applyNumberFormat="1" applyFont="1" applyFill="1" applyBorder="1" applyProtection="1">
      <protection locked="0"/>
    </xf>
    <xf numFmtId="0" fontId="0" fillId="0" borderId="0" xfId="0" applyAlignment="1">
      <alignment horizontal="center"/>
    </xf>
    <xf numFmtId="0" fontId="0" fillId="3" borderId="0" xfId="0" applyFill="1" applyBorder="1" applyAlignment="1">
      <alignment horizontal="center" wrapText="1"/>
    </xf>
    <xf numFmtId="0" fontId="0" fillId="3" borderId="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7" xfId="0" applyFill="1" applyBorder="1" applyAlignment="1">
      <alignment horizontal="center" vertical="center" wrapText="1"/>
    </xf>
    <xf numFmtId="10" fontId="0" fillId="3" borderId="0" xfId="2" applyNumberFormat="1" applyFont="1" applyFill="1" applyBorder="1"/>
    <xf numFmtId="0" fontId="0" fillId="0" borderId="0" xfId="0" applyAlignment="1">
      <alignment vertical="top" wrapText="1"/>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8" fillId="0" borderId="0" xfId="0" applyFont="1" applyProtection="1">
      <protection locked="0"/>
    </xf>
    <xf numFmtId="0" fontId="0" fillId="2" borderId="27" xfId="0" applyFill="1" applyBorder="1" applyProtection="1">
      <protection locked="0"/>
    </xf>
    <xf numFmtId="0" fontId="0" fillId="0" borderId="28" xfId="0" quotePrefix="1" applyBorder="1" applyProtection="1">
      <protection locked="0"/>
    </xf>
    <xf numFmtId="0" fontId="0" fillId="0" borderId="29" xfId="0" applyBorder="1" applyProtection="1">
      <protection locked="0"/>
    </xf>
    <xf numFmtId="0" fontId="0" fillId="3" borderId="8" xfId="0" applyFill="1" applyBorder="1" applyProtection="1">
      <protection locked="0"/>
    </xf>
    <xf numFmtId="0" fontId="0" fillId="0" borderId="9" xfId="0" quotePrefix="1" applyBorder="1" applyProtection="1">
      <protection locked="0"/>
    </xf>
    <xf numFmtId="0" fontId="0" fillId="0" borderId="18" xfId="0" applyBorder="1" applyProtection="1">
      <protection locked="0"/>
    </xf>
    <xf numFmtId="0" fontId="0" fillId="0" borderId="0" xfId="0" applyFill="1" applyProtection="1">
      <protection locked="0"/>
    </xf>
    <xf numFmtId="0" fontId="0" fillId="0" borderId="0" xfId="0" applyFill="1" applyBorder="1" applyProtection="1">
      <protection locked="0"/>
    </xf>
    <xf numFmtId="0" fontId="0" fillId="0" borderId="0" xfId="0" quotePrefix="1" applyFill="1" applyBorder="1" applyProtection="1">
      <protection locked="0"/>
    </xf>
    <xf numFmtId="0" fontId="0" fillId="0" borderId="0" xfId="0" applyFill="1" applyBorder="1" applyAlignment="1" applyProtection="1">
      <alignment horizontal="left" vertical="center" wrapText="1"/>
      <protection locked="0"/>
    </xf>
    <xf numFmtId="0" fontId="1" fillId="0" borderId="0" xfId="0" applyFont="1" applyProtection="1">
      <protection locked="0"/>
    </xf>
    <xf numFmtId="0" fontId="8" fillId="0" borderId="0" xfId="0" applyFont="1" applyAlignment="1" applyProtection="1">
      <alignment horizontal="center"/>
      <protection locked="0"/>
    </xf>
    <xf numFmtId="0" fontId="0" fillId="0" borderId="0" xfId="0" applyBorder="1" applyAlignment="1" applyProtection="1">
      <alignment vertical="center" wrapText="1"/>
      <protection locked="0"/>
    </xf>
    <xf numFmtId="44" fontId="0" fillId="0" borderId="0" xfId="0" applyNumberFormat="1" applyProtection="1">
      <protection locked="0"/>
    </xf>
    <xf numFmtId="0" fontId="0" fillId="2" borderId="0" xfId="0" applyFill="1" applyAlignment="1" applyProtection="1">
      <alignment horizontal="center"/>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2" borderId="0" xfId="0" applyNumberFormat="1" applyFill="1" applyAlignment="1" applyProtection="1">
      <alignment horizontal="center" vertical="center"/>
      <protection locked="0"/>
    </xf>
    <xf numFmtId="0" fontId="0" fillId="0" borderId="0" xfId="0" applyFill="1" applyAlignment="1" applyProtection="1">
      <alignment horizontal="center"/>
      <protection locked="0"/>
    </xf>
    <xf numFmtId="164" fontId="0" fillId="0" borderId="0" xfId="0" applyNumberFormat="1" applyAlignment="1" applyProtection="1">
      <alignment horizontal="center" vertical="center"/>
      <protection locked="0"/>
    </xf>
    <xf numFmtId="0" fontId="0" fillId="3" borderId="0" xfId="0" applyFill="1" applyProtection="1">
      <protection locked="0"/>
    </xf>
    <xf numFmtId="164" fontId="0" fillId="3" borderId="0" xfId="0" applyNumberFormat="1" applyFill="1" applyAlignment="1" applyProtection="1">
      <alignment horizontal="center" vertical="center"/>
      <protection locked="0"/>
    </xf>
    <xf numFmtId="164" fontId="0" fillId="0" borderId="0" xfId="0" applyNumberFormat="1" applyFill="1" applyAlignment="1" applyProtection="1">
      <alignment horizontal="center" vertical="center"/>
      <protection locked="0"/>
    </xf>
    <xf numFmtId="0" fontId="0" fillId="0" borderId="0" xfId="0" applyFill="1" applyBorder="1" applyAlignment="1" applyProtection="1">
      <alignment horizontal="left" wrapText="1"/>
      <protection locked="0"/>
    </xf>
    <xf numFmtId="44" fontId="0" fillId="0" borderId="0" xfId="0" applyNumberFormat="1" applyFill="1" applyProtection="1">
      <protection locked="0"/>
    </xf>
    <xf numFmtId="164" fontId="0" fillId="2" borderId="0" xfId="2" applyNumberFormat="1" applyFont="1" applyFill="1" applyAlignment="1" applyProtection="1">
      <alignment horizontal="center" vertical="center"/>
      <protection locked="0"/>
    </xf>
    <xf numFmtId="9" fontId="0" fillId="0" borderId="0" xfId="2" applyFont="1" applyFill="1" applyAlignment="1" applyProtection="1">
      <alignment horizontal="center" vertical="center"/>
      <protection locked="0"/>
    </xf>
    <xf numFmtId="0" fontId="0" fillId="0" borderId="0"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protection locked="0"/>
    </xf>
    <xf numFmtId="165" fontId="0" fillId="0" borderId="0" xfId="2" applyNumberFormat="1" applyFont="1" applyFill="1" applyAlignment="1" applyProtection="1">
      <alignment horizontal="center"/>
      <protection locked="0"/>
    </xf>
    <xf numFmtId="0" fontId="0" fillId="3" borderId="0" xfId="0" applyFill="1" applyAlignment="1" applyProtection="1">
      <alignment horizontal="center" vertical="center"/>
    </xf>
    <xf numFmtId="165" fontId="0" fillId="3" borderId="0" xfId="2" applyNumberFormat="1" applyFont="1" applyFill="1" applyAlignment="1" applyProtection="1">
      <alignment horizontal="center"/>
    </xf>
    <xf numFmtId="0" fontId="0" fillId="0" borderId="10" xfId="0"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10" xfId="0" applyFill="1" applyBorder="1" applyAlignment="1" applyProtection="1">
      <alignment horizontal="left" wrapText="1"/>
      <protection locked="0"/>
    </xf>
    <xf numFmtId="0" fontId="0" fillId="0" borderId="11" xfId="0" applyFill="1" applyBorder="1" applyAlignment="1" applyProtection="1">
      <alignment horizontal="left" wrapText="1"/>
      <protection locked="0"/>
    </xf>
    <xf numFmtId="0" fontId="0" fillId="0" borderId="12" xfId="0" applyFill="1" applyBorder="1" applyAlignment="1" applyProtection="1">
      <alignment horizontal="left" wrapText="1"/>
      <protection locked="0"/>
    </xf>
    <xf numFmtId="0" fontId="0" fillId="0" borderId="2"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0" fontId="0" fillId="0" borderId="7" xfId="0" applyFill="1"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0" fillId="0" borderId="6" xfId="0" applyFill="1" applyBorder="1" applyAlignment="1" applyProtection="1">
      <alignment horizontal="left" wrapText="1"/>
      <protection locked="0"/>
    </xf>
    <xf numFmtId="0" fontId="0" fillId="0" borderId="0" xfId="0" applyAlignment="1" applyProtection="1">
      <alignment horizontal="left" wrapText="1"/>
      <protection locked="0"/>
    </xf>
    <xf numFmtId="164" fontId="0" fillId="2" borderId="0" xfId="0" applyNumberFormat="1" applyFill="1" applyAlignment="1" applyProtection="1">
      <alignment horizontal="center" vertical="center"/>
      <protection locked="0"/>
    </xf>
    <xf numFmtId="0" fontId="0" fillId="0" borderId="0" xfId="0" applyAlignment="1" applyProtection="1">
      <alignment horizontal="left" vertical="center" wrapText="1"/>
      <protection locked="0"/>
    </xf>
    <xf numFmtId="0" fontId="0" fillId="2" borderId="0" xfId="0" applyFill="1" applyAlignment="1" applyProtection="1">
      <alignment horizontal="center" vertical="center"/>
      <protection locked="0"/>
    </xf>
    <xf numFmtId="0" fontId="0" fillId="0" borderId="0" xfId="0" applyFill="1" applyAlignment="1" applyProtection="1">
      <alignment horizontal="left" wrapText="1"/>
      <protection locked="0"/>
    </xf>
    <xf numFmtId="164" fontId="0" fillId="2" borderId="0" xfId="2" applyNumberFormat="1" applyFont="1" applyFill="1" applyAlignment="1" applyProtection="1">
      <alignment horizontal="center" vertical="center"/>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2" borderId="0" xfId="0" applyNumberFormat="1" applyFill="1" applyAlignment="1" applyProtection="1">
      <alignment horizontal="center" vertical="center"/>
      <protection locked="0"/>
    </xf>
    <xf numFmtId="0" fontId="8" fillId="0" borderId="0" xfId="0" applyFont="1" applyAlignment="1" applyProtection="1">
      <alignment horizontal="center"/>
      <protection locked="0"/>
    </xf>
    <xf numFmtId="0" fontId="1" fillId="0" borderId="0" xfId="0" applyFont="1" applyAlignment="1" applyProtection="1">
      <alignment horizontal="center"/>
      <protection locked="0"/>
    </xf>
    <xf numFmtId="0" fontId="0" fillId="0" borderId="0" xfId="0" applyAlignment="1" applyProtection="1">
      <alignment horizontal="left"/>
      <protection locked="0"/>
    </xf>
    <xf numFmtId="0" fontId="0" fillId="0" borderId="27" xfId="0" applyFill="1" applyBorder="1" applyAlignment="1" applyProtection="1">
      <alignment horizontal="left" vertical="center" wrapText="1"/>
      <protection locked="0"/>
    </xf>
    <xf numFmtId="0" fontId="0" fillId="0" borderId="28" xfId="0" applyFill="1" applyBorder="1" applyAlignment="1" applyProtection="1">
      <alignment horizontal="left" vertical="center" wrapText="1"/>
      <protection locked="0"/>
    </xf>
    <xf numFmtId="0" fontId="0" fillId="0" borderId="29" xfId="0"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0" xfId="0" applyFill="1" applyAlignment="1" applyProtection="1">
      <alignment horizontal="center" vertical="center"/>
      <protection locked="0"/>
    </xf>
    <xf numFmtId="0" fontId="1" fillId="3" borderId="19" xfId="0" applyFont="1" applyFill="1" applyBorder="1" applyAlignment="1">
      <alignment horizontal="center" wrapText="1"/>
    </xf>
    <xf numFmtId="0" fontId="1" fillId="3" borderId="20" xfId="0" applyFont="1" applyFill="1" applyBorder="1" applyAlignment="1">
      <alignment horizontal="center" wrapText="1"/>
    </xf>
    <xf numFmtId="0" fontId="1" fillId="3" borderId="21" xfId="0" applyFont="1" applyFill="1" applyBorder="1" applyAlignment="1">
      <alignment horizontal="center" wrapText="1"/>
    </xf>
    <xf numFmtId="0" fontId="0" fillId="3" borderId="1" xfId="0" applyFill="1" applyBorder="1" applyAlignment="1">
      <alignment wrapText="1"/>
    </xf>
    <xf numFmtId="0" fontId="0" fillId="3" borderId="0" xfId="0" applyFill="1" applyBorder="1" applyAlignment="1">
      <alignment wrapText="1"/>
    </xf>
    <xf numFmtId="0" fontId="1" fillId="0" borderId="25" xfId="0" applyFont="1" applyBorder="1" applyAlignment="1">
      <alignment horizontal="left"/>
    </xf>
    <xf numFmtId="0" fontId="1" fillId="0" borderId="13" xfId="0" applyFont="1" applyBorder="1" applyAlignment="1">
      <alignment horizontal="left"/>
    </xf>
    <xf numFmtId="0" fontId="1" fillId="0" borderId="26" xfId="0" applyFont="1" applyBorder="1" applyAlignment="1">
      <alignment horizontal="left"/>
    </xf>
    <xf numFmtId="0" fontId="0" fillId="0" borderId="27" xfId="0" applyNumberFormat="1" applyBorder="1" applyAlignment="1">
      <alignment horizontal="left" vertical="center" wrapText="1"/>
    </xf>
    <xf numFmtId="0" fontId="0" fillId="0" borderId="28" xfId="0" applyNumberFormat="1" applyFont="1" applyBorder="1" applyAlignment="1">
      <alignment horizontal="left" vertical="center" wrapText="1"/>
    </xf>
    <xf numFmtId="0" fontId="0" fillId="0" borderId="29" xfId="0" applyNumberFormat="1" applyFont="1" applyBorder="1" applyAlignment="1">
      <alignment horizontal="left" vertical="center" wrapText="1"/>
    </xf>
    <xf numFmtId="0" fontId="0" fillId="0" borderId="1" xfId="0" applyNumberFormat="1" applyFont="1" applyBorder="1" applyAlignment="1">
      <alignment horizontal="left" vertical="center" wrapText="1"/>
    </xf>
    <xf numFmtId="0" fontId="0" fillId="0" borderId="0" xfId="0" applyNumberFormat="1" applyFont="1" applyBorder="1" applyAlignment="1">
      <alignment horizontal="left" vertical="center" wrapText="1"/>
    </xf>
    <xf numFmtId="0" fontId="0" fillId="0" borderId="17" xfId="0" applyNumberFormat="1" applyFont="1" applyBorder="1" applyAlignment="1">
      <alignment horizontal="left" vertical="center" wrapText="1"/>
    </xf>
    <xf numFmtId="0" fontId="0" fillId="0" borderId="8" xfId="0" applyNumberFormat="1" applyFont="1" applyBorder="1" applyAlignment="1">
      <alignment horizontal="left" vertical="center" wrapText="1"/>
    </xf>
    <xf numFmtId="0" fontId="0" fillId="0" borderId="9" xfId="0" applyNumberFormat="1" applyFont="1" applyBorder="1" applyAlignment="1">
      <alignment horizontal="left" vertical="center" wrapText="1"/>
    </xf>
    <xf numFmtId="0" fontId="0" fillId="0" borderId="18" xfId="0" applyNumberFormat="1" applyFont="1" applyBorder="1" applyAlignment="1">
      <alignment horizontal="left" vertical="center" wrapText="1"/>
    </xf>
    <xf numFmtId="0" fontId="1" fillId="3" borderId="27" xfId="0" applyFont="1" applyFill="1" applyBorder="1" applyAlignment="1">
      <alignment horizontal="center"/>
    </xf>
    <xf numFmtId="0" fontId="1" fillId="3" borderId="28" xfId="0" applyFont="1" applyFill="1" applyBorder="1" applyAlignment="1">
      <alignment horizontal="center"/>
    </xf>
    <xf numFmtId="0" fontId="1" fillId="3" borderId="29" xfId="0" applyFont="1" applyFill="1" applyBorder="1" applyAlignment="1">
      <alignment horizontal="center"/>
    </xf>
    <xf numFmtId="0" fontId="0" fillId="3" borderId="8" xfId="0" applyFill="1" applyBorder="1" applyAlignment="1">
      <alignment horizontal="left" wrapText="1"/>
    </xf>
    <xf numFmtId="0" fontId="0" fillId="0" borderId="9" xfId="0" applyBorder="1" applyAlignment="1">
      <alignment horizontal="left" wrapText="1"/>
    </xf>
    <xf numFmtId="0" fontId="0" fillId="0" borderId="18" xfId="0" applyBorder="1" applyAlignment="1">
      <alignment horizontal="left"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0" xfId="0" applyNumberFormat="1" applyBorder="1" applyAlignment="1">
      <alignment horizontal="left" wrapText="1"/>
    </xf>
    <xf numFmtId="0" fontId="0" fillId="0" borderId="11" xfId="0" applyNumberFormat="1" applyBorder="1" applyAlignment="1">
      <alignment horizontal="left" wrapText="1"/>
    </xf>
    <xf numFmtId="0" fontId="0" fillId="0" borderId="12" xfId="0" applyNumberFormat="1" applyBorder="1" applyAlignment="1">
      <alignment horizontal="left" wrapText="1"/>
    </xf>
    <xf numFmtId="0" fontId="0" fillId="0" borderId="2" xfId="0" applyNumberFormat="1" applyBorder="1" applyAlignment="1">
      <alignment horizontal="left" wrapText="1"/>
    </xf>
    <xf numFmtId="0" fontId="0" fillId="0" borderId="0" xfId="0" applyNumberFormat="1" applyBorder="1" applyAlignment="1">
      <alignment horizontal="left" wrapText="1"/>
    </xf>
    <xf numFmtId="0" fontId="0" fillId="0" borderId="3" xfId="0" applyNumberFormat="1" applyBorder="1" applyAlignment="1">
      <alignment horizontal="left" wrapText="1"/>
    </xf>
    <xf numFmtId="0" fontId="0" fillId="0" borderId="7" xfId="0" applyNumberFormat="1" applyBorder="1" applyAlignment="1">
      <alignment horizontal="left" wrapText="1"/>
    </xf>
    <xf numFmtId="0" fontId="0" fillId="0" borderId="5" xfId="0" applyNumberFormat="1" applyBorder="1" applyAlignment="1">
      <alignment horizontal="left" wrapText="1"/>
    </xf>
    <xf numFmtId="0" fontId="0" fillId="0" borderId="6" xfId="0" applyNumberFormat="1" applyBorder="1" applyAlignment="1">
      <alignment horizontal="left"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10" xfId="0" applyNumberFormat="1" applyFill="1" applyBorder="1" applyAlignment="1">
      <alignment horizontal="left" wrapText="1"/>
    </xf>
    <xf numFmtId="0" fontId="0" fillId="0" borderId="11" xfId="0" applyNumberFormat="1" applyFont="1" applyFill="1" applyBorder="1" applyAlignment="1">
      <alignment horizontal="left" wrapText="1"/>
    </xf>
    <xf numFmtId="0" fontId="0" fillId="0" borderId="12" xfId="0" applyNumberFormat="1" applyFont="1" applyFill="1" applyBorder="1" applyAlignment="1">
      <alignment horizontal="left" wrapText="1"/>
    </xf>
    <xf numFmtId="0" fontId="0" fillId="0" borderId="2" xfId="0" applyNumberFormat="1" applyFont="1" applyFill="1" applyBorder="1" applyAlignment="1">
      <alignment horizontal="left" wrapText="1"/>
    </xf>
    <xf numFmtId="0" fontId="0" fillId="0" borderId="0" xfId="0" applyNumberFormat="1" applyFont="1" applyFill="1" applyBorder="1" applyAlignment="1">
      <alignment horizontal="left" wrapText="1"/>
    </xf>
    <xf numFmtId="0" fontId="0" fillId="0" borderId="3" xfId="0" applyNumberFormat="1" applyFont="1" applyFill="1" applyBorder="1" applyAlignment="1">
      <alignment horizontal="left" wrapText="1"/>
    </xf>
    <xf numFmtId="0" fontId="0" fillId="0" borderId="7" xfId="0" applyNumberFormat="1" applyFont="1" applyFill="1" applyBorder="1" applyAlignment="1">
      <alignment horizontal="left" wrapText="1"/>
    </xf>
    <xf numFmtId="0" fontId="0" fillId="0" borderId="5" xfId="0" applyNumberFormat="1" applyFont="1" applyFill="1" applyBorder="1" applyAlignment="1">
      <alignment horizontal="left" wrapText="1"/>
    </xf>
    <xf numFmtId="0" fontId="0" fillId="0" borderId="6" xfId="0" applyNumberFormat="1" applyFont="1" applyFill="1" applyBorder="1" applyAlignment="1">
      <alignment horizontal="left"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0" fillId="0" borderId="15" xfId="0" quotePrefix="1" applyBorder="1" applyAlignment="1">
      <alignment horizontal="left" vertical="center" wrapText="1"/>
    </xf>
    <xf numFmtId="0" fontId="0" fillId="0" borderId="16" xfId="0" quotePrefix="1" applyBorder="1" applyAlignment="1">
      <alignment horizontal="left" vertical="center" wrapText="1"/>
    </xf>
    <xf numFmtId="0" fontId="0" fillId="0" borderId="10" xfId="0" applyBorder="1" applyAlignment="1">
      <alignment horizontal="left" wrapText="1"/>
    </xf>
    <xf numFmtId="0" fontId="0" fillId="0" borderId="11" xfId="0" quotePrefix="1" applyBorder="1" applyAlignment="1">
      <alignment horizontal="left" wrapText="1"/>
    </xf>
    <xf numFmtId="0" fontId="0" fillId="0" borderId="12" xfId="0" quotePrefix="1" applyBorder="1" applyAlignment="1">
      <alignment horizontal="left" wrapText="1"/>
    </xf>
    <xf numFmtId="0" fontId="0" fillId="0" borderId="7" xfId="0" quotePrefix="1" applyBorder="1" applyAlignment="1">
      <alignment horizontal="left" wrapText="1"/>
    </xf>
    <xf numFmtId="0" fontId="0" fillId="0" borderId="5" xfId="0" quotePrefix="1" applyBorder="1" applyAlignment="1">
      <alignment horizontal="left" wrapText="1"/>
    </xf>
    <xf numFmtId="0" fontId="0" fillId="0" borderId="6" xfId="0" quotePrefix="1" applyBorder="1" applyAlignment="1">
      <alignment horizontal="left"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3" xfId="0" applyFill="1" applyBorder="1" applyAlignment="1">
      <alignment horizontal="left" vertical="center" wrapText="1"/>
    </xf>
    <xf numFmtId="0" fontId="0" fillId="0" borderId="7"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11" xfId="0" applyBorder="1" applyAlignment="1">
      <alignment horizontal="left" wrapText="1"/>
    </xf>
    <xf numFmtId="0" fontId="0" fillId="0" borderId="12" xfId="0" applyBorder="1" applyAlignment="1">
      <alignment horizontal="left" wrapText="1"/>
    </xf>
    <xf numFmtId="0" fontId="0" fillId="0" borderId="2" xfId="0" applyBorder="1" applyAlignment="1">
      <alignment horizontal="left" wrapText="1"/>
    </xf>
    <xf numFmtId="0" fontId="0" fillId="0" borderId="0" xfId="0" applyBorder="1" applyAlignment="1">
      <alignment horizontal="left" wrapText="1"/>
    </xf>
    <xf numFmtId="0" fontId="0" fillId="0" borderId="3" xfId="0" applyBorder="1" applyAlignment="1">
      <alignment horizontal="left" wrapText="1"/>
    </xf>
    <xf numFmtId="0" fontId="0" fillId="0" borderId="7"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0" fillId="0" borderId="10" xfId="0" applyNumberFormat="1" applyFill="1" applyBorder="1" applyAlignment="1">
      <alignment horizontal="left" vertical="center" wrapText="1"/>
    </xf>
    <xf numFmtId="0" fontId="0" fillId="0" borderId="11" xfId="0" applyNumberFormat="1" applyFill="1" applyBorder="1" applyAlignment="1">
      <alignment horizontal="left" vertical="center" wrapText="1"/>
    </xf>
    <xf numFmtId="0" fontId="0" fillId="0" borderId="12" xfId="0" applyNumberFormat="1" applyFill="1" applyBorder="1" applyAlignment="1">
      <alignment horizontal="left" vertical="center" wrapText="1"/>
    </xf>
    <xf numFmtId="0" fontId="0" fillId="0" borderId="2" xfId="0" applyNumberFormat="1" applyFill="1" applyBorder="1" applyAlignment="1">
      <alignment horizontal="left" vertical="center" wrapText="1"/>
    </xf>
    <xf numFmtId="0" fontId="0" fillId="0" borderId="0" xfId="0" applyNumberFormat="1" applyFill="1" applyBorder="1" applyAlignment="1">
      <alignment horizontal="left" vertical="center" wrapText="1"/>
    </xf>
    <xf numFmtId="0" fontId="0" fillId="0" borderId="3" xfId="0" applyNumberFormat="1" applyFill="1" applyBorder="1" applyAlignment="1">
      <alignment horizontal="left" vertical="center" wrapText="1"/>
    </xf>
    <xf numFmtId="0" fontId="0" fillId="0" borderId="7" xfId="0" applyNumberFormat="1" applyFill="1" applyBorder="1" applyAlignment="1">
      <alignment horizontal="left" vertical="center" wrapText="1"/>
    </xf>
    <xf numFmtId="0" fontId="0" fillId="0" borderId="5" xfId="0" applyNumberFormat="1" applyFill="1" applyBorder="1" applyAlignment="1">
      <alignment horizontal="left" vertical="center" wrapText="1"/>
    </xf>
    <xf numFmtId="0" fontId="0" fillId="0" borderId="6" xfId="0" applyNumberFormat="1" applyFill="1" applyBorder="1" applyAlignment="1">
      <alignment horizontal="left" vertical="center" wrapText="1"/>
    </xf>
    <xf numFmtId="0" fontId="0" fillId="0" borderId="3" xfId="0" applyFill="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0" fillId="0" borderId="15" xfId="0" quotePrefix="1" applyBorder="1" applyAlignment="1">
      <alignment horizontal="left" wrapText="1"/>
    </xf>
    <xf numFmtId="0" fontId="0" fillId="0" borderId="16" xfId="0" quotePrefix="1" applyBorder="1" applyAlignment="1">
      <alignment horizontal="left" wrapText="1"/>
    </xf>
  </cellXfs>
  <cellStyles count="3">
    <cellStyle name="Normal" xfId="0" builtinId="0"/>
    <cellStyle name="Normal 3"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O91"/>
  <sheetViews>
    <sheetView tabSelected="1" zoomScaleNormal="100" workbookViewId="0">
      <selection activeCell="A4" sqref="A4:O10"/>
    </sheetView>
  </sheetViews>
  <sheetFormatPr defaultRowHeight="15"/>
  <cols>
    <col min="1" max="5" width="9.140625" style="133"/>
    <col min="6" max="6" width="11" style="133" customWidth="1"/>
    <col min="7" max="7" width="19" style="133" customWidth="1"/>
    <col min="8" max="8" width="4.85546875" style="133" customWidth="1"/>
    <col min="9" max="10" width="9.140625" style="133"/>
    <col min="11" max="11" width="9.7109375" style="133" customWidth="1"/>
    <col min="12" max="16384" width="9.140625" style="133"/>
  </cols>
  <sheetData>
    <row r="1" spans="1:15">
      <c r="A1" s="150" t="s">
        <v>181</v>
      </c>
      <c r="I1" s="151"/>
      <c r="J1" s="152" t="s">
        <v>97</v>
      </c>
      <c r="K1" s="153"/>
    </row>
    <row r="2" spans="1:15" ht="15.75" thickBot="1">
      <c r="A2" s="133" t="str">
        <f>"Note: all values should be in real current (e.g., "&amp;G18&amp;") currency"</f>
        <v>Note: all values should be in real current (e.g., 2012) currency</v>
      </c>
      <c r="I2" s="154"/>
      <c r="J2" s="155" t="s">
        <v>98</v>
      </c>
      <c r="K2" s="156"/>
    </row>
    <row r="3" spans="1:15" s="157" customFormat="1" ht="15.75" thickBot="1">
      <c r="I3" s="158"/>
      <c r="J3" s="159"/>
      <c r="K3" s="158"/>
    </row>
    <row r="4" spans="1:15" s="157" customFormat="1" ht="15" customHeight="1">
      <c r="A4" s="227" t="s">
        <v>292</v>
      </c>
      <c r="B4" s="228"/>
      <c r="C4" s="228"/>
      <c r="D4" s="228"/>
      <c r="E4" s="228"/>
      <c r="F4" s="228"/>
      <c r="G4" s="228"/>
      <c r="H4" s="228"/>
      <c r="I4" s="228"/>
      <c r="J4" s="228"/>
      <c r="K4" s="228"/>
      <c r="L4" s="228"/>
      <c r="M4" s="228"/>
      <c r="N4" s="228"/>
      <c r="O4" s="229"/>
    </row>
    <row r="5" spans="1:15" s="157" customFormat="1">
      <c r="A5" s="230"/>
      <c r="B5" s="194"/>
      <c r="C5" s="194"/>
      <c r="D5" s="194"/>
      <c r="E5" s="194"/>
      <c r="F5" s="194"/>
      <c r="G5" s="194"/>
      <c r="H5" s="194"/>
      <c r="I5" s="194"/>
      <c r="J5" s="194"/>
      <c r="K5" s="194"/>
      <c r="L5" s="194"/>
      <c r="M5" s="194"/>
      <c r="N5" s="194"/>
      <c r="O5" s="231"/>
    </row>
    <row r="6" spans="1:15" s="157" customFormat="1">
      <c r="A6" s="230"/>
      <c r="B6" s="194"/>
      <c r="C6" s="194"/>
      <c r="D6" s="194"/>
      <c r="E6" s="194"/>
      <c r="F6" s="194"/>
      <c r="G6" s="194"/>
      <c r="H6" s="194"/>
      <c r="I6" s="194"/>
      <c r="J6" s="194"/>
      <c r="K6" s="194"/>
      <c r="L6" s="194"/>
      <c r="M6" s="194"/>
      <c r="N6" s="194"/>
      <c r="O6" s="231"/>
    </row>
    <row r="7" spans="1:15" s="157" customFormat="1">
      <c r="A7" s="230"/>
      <c r="B7" s="194"/>
      <c r="C7" s="194"/>
      <c r="D7" s="194"/>
      <c r="E7" s="194"/>
      <c r="F7" s="194"/>
      <c r="G7" s="194"/>
      <c r="H7" s="194"/>
      <c r="I7" s="194"/>
      <c r="J7" s="194"/>
      <c r="K7" s="194"/>
      <c r="L7" s="194"/>
      <c r="M7" s="194"/>
      <c r="N7" s="194"/>
      <c r="O7" s="231"/>
    </row>
    <row r="8" spans="1:15" s="157" customFormat="1">
      <c r="A8" s="230"/>
      <c r="B8" s="194"/>
      <c r="C8" s="194"/>
      <c r="D8" s="194"/>
      <c r="E8" s="194"/>
      <c r="F8" s="194"/>
      <c r="G8" s="194"/>
      <c r="H8" s="194"/>
      <c r="I8" s="194"/>
      <c r="J8" s="194"/>
      <c r="K8" s="194"/>
      <c r="L8" s="194"/>
      <c r="M8" s="194"/>
      <c r="N8" s="194"/>
      <c r="O8" s="231"/>
    </row>
    <row r="9" spans="1:15" s="157" customFormat="1">
      <c r="A9" s="230"/>
      <c r="B9" s="194"/>
      <c r="C9" s="194"/>
      <c r="D9" s="194"/>
      <c r="E9" s="194"/>
      <c r="F9" s="194"/>
      <c r="G9" s="194"/>
      <c r="H9" s="194"/>
      <c r="I9" s="194"/>
      <c r="J9" s="194"/>
      <c r="K9" s="194"/>
      <c r="L9" s="194"/>
      <c r="M9" s="194"/>
      <c r="N9" s="194"/>
      <c r="O9" s="231"/>
    </row>
    <row r="10" spans="1:15" s="157" customFormat="1" ht="15.75" thickBot="1">
      <c r="A10" s="232"/>
      <c r="B10" s="233"/>
      <c r="C10" s="233"/>
      <c r="D10" s="233"/>
      <c r="E10" s="233"/>
      <c r="F10" s="233"/>
      <c r="G10" s="233"/>
      <c r="H10" s="233"/>
      <c r="I10" s="233"/>
      <c r="J10" s="233"/>
      <c r="K10" s="233"/>
      <c r="L10" s="233"/>
      <c r="M10" s="233"/>
      <c r="N10" s="233"/>
      <c r="O10" s="234"/>
    </row>
    <row r="11" spans="1:15" s="157" customFormat="1">
      <c r="A11" s="160"/>
      <c r="B11" s="160"/>
      <c r="C11" s="160"/>
      <c r="D11" s="160"/>
      <c r="E11" s="160"/>
      <c r="F11" s="160"/>
      <c r="G11" s="160"/>
      <c r="H11" s="160"/>
      <c r="I11" s="160"/>
      <c r="J11" s="160"/>
      <c r="K11" s="160"/>
      <c r="L11" s="160"/>
      <c r="M11" s="160"/>
      <c r="N11" s="160"/>
      <c r="O11" s="160"/>
    </row>
    <row r="12" spans="1:15">
      <c r="A12" s="224" t="s">
        <v>20</v>
      </c>
      <c r="B12" s="225"/>
      <c r="C12" s="225"/>
      <c r="D12" s="225"/>
      <c r="E12" s="225"/>
      <c r="F12" s="161"/>
      <c r="G12" s="162" t="s">
        <v>21</v>
      </c>
      <c r="H12" s="162"/>
      <c r="I12" s="224" t="s">
        <v>22</v>
      </c>
      <c r="J12" s="224"/>
      <c r="K12" s="224"/>
      <c r="L12" s="224"/>
      <c r="M12" s="224"/>
      <c r="N12" s="224"/>
      <c r="O12" s="224"/>
    </row>
    <row r="14" spans="1:15" ht="15" customHeight="1">
      <c r="A14" s="161" t="s">
        <v>4</v>
      </c>
      <c r="I14" s="135"/>
      <c r="J14" s="163"/>
      <c r="K14" s="163"/>
      <c r="L14" s="163"/>
      <c r="M14" s="163"/>
      <c r="N14" s="163"/>
      <c r="O14" s="163"/>
    </row>
    <row r="15" spans="1:15" ht="15" customHeight="1">
      <c r="A15" s="210" t="s">
        <v>191</v>
      </c>
      <c r="B15" s="210"/>
      <c r="C15" s="210"/>
      <c r="D15" s="210"/>
      <c r="E15" s="210"/>
      <c r="F15" s="210"/>
      <c r="G15" s="209">
        <v>435000000</v>
      </c>
      <c r="H15" s="164"/>
      <c r="I15" s="214" t="s">
        <v>182</v>
      </c>
      <c r="J15" s="215"/>
      <c r="K15" s="215"/>
      <c r="L15" s="215"/>
      <c r="M15" s="215"/>
      <c r="N15" s="215"/>
      <c r="O15" s="216"/>
    </row>
    <row r="16" spans="1:15" ht="32.25" customHeight="1">
      <c r="A16" s="210"/>
      <c r="B16" s="210"/>
      <c r="C16" s="210"/>
      <c r="D16" s="210"/>
      <c r="E16" s="210"/>
      <c r="F16" s="210"/>
      <c r="G16" s="209"/>
      <c r="H16" s="164"/>
      <c r="I16" s="220"/>
      <c r="J16" s="221"/>
      <c r="K16" s="221"/>
      <c r="L16" s="221"/>
      <c r="M16" s="221"/>
      <c r="N16" s="221"/>
      <c r="O16" s="222"/>
    </row>
    <row r="17" spans="1:15" ht="31.5" customHeight="1">
      <c r="B17" s="235" t="s">
        <v>109</v>
      </c>
      <c r="C17" s="235"/>
      <c r="D17" s="235"/>
      <c r="E17" s="235"/>
      <c r="F17" s="235"/>
      <c r="G17" s="188">
        <v>40</v>
      </c>
      <c r="H17" s="164"/>
      <c r="I17" s="220" t="s">
        <v>232</v>
      </c>
      <c r="J17" s="221"/>
      <c r="K17" s="221"/>
      <c r="L17" s="221"/>
      <c r="M17" s="221"/>
      <c r="N17" s="221"/>
      <c r="O17" s="222"/>
    </row>
    <row r="18" spans="1:15">
      <c r="A18" s="226" t="s">
        <v>183</v>
      </c>
      <c r="B18" s="226"/>
      <c r="C18" s="226"/>
      <c r="D18" s="226"/>
      <c r="E18" s="226"/>
      <c r="F18" s="226"/>
      <c r="G18" s="165">
        <v>2012</v>
      </c>
      <c r="H18" s="164"/>
      <c r="I18" s="147"/>
      <c r="J18" s="148"/>
      <c r="K18" s="148"/>
      <c r="L18" s="148"/>
      <c r="M18" s="148"/>
      <c r="N18" s="148"/>
      <c r="O18" s="149"/>
    </row>
    <row r="19" spans="1:15" ht="17.25" customHeight="1">
      <c r="A19" s="208" t="s">
        <v>184</v>
      </c>
      <c r="B19" s="208"/>
      <c r="C19" s="208"/>
      <c r="D19" s="208"/>
      <c r="E19" s="208"/>
      <c r="F19" s="208"/>
      <c r="G19" s="211">
        <v>2013</v>
      </c>
      <c r="H19" s="164"/>
      <c r="I19" s="166"/>
      <c r="J19" s="167"/>
      <c r="K19" s="167"/>
      <c r="L19" s="167"/>
      <c r="M19" s="167"/>
      <c r="N19" s="167"/>
      <c r="O19" s="168"/>
    </row>
    <row r="20" spans="1:15">
      <c r="A20" s="208"/>
      <c r="B20" s="208"/>
      <c r="C20" s="208"/>
      <c r="D20" s="208"/>
      <c r="E20" s="208"/>
      <c r="F20" s="208"/>
      <c r="G20" s="211"/>
      <c r="H20" s="164"/>
      <c r="I20" s="169"/>
      <c r="J20" s="170"/>
      <c r="K20" s="170"/>
      <c r="L20" s="170"/>
      <c r="M20" s="170"/>
      <c r="N20" s="170"/>
      <c r="O20" s="171"/>
    </row>
    <row r="21" spans="1:15" ht="15" customHeight="1">
      <c r="A21" s="133" t="s">
        <v>185</v>
      </c>
      <c r="G21" s="125">
        <f>$G$15*0.05</f>
        <v>21750000</v>
      </c>
      <c r="H21" s="164"/>
      <c r="I21" s="214" t="s">
        <v>271</v>
      </c>
      <c r="J21" s="215"/>
      <c r="K21" s="215"/>
      <c r="L21" s="215"/>
      <c r="M21" s="215"/>
      <c r="N21" s="215"/>
      <c r="O21" s="216"/>
    </row>
    <row r="22" spans="1:15" ht="15" customHeight="1">
      <c r="A22" s="208" t="s">
        <v>186</v>
      </c>
      <c r="B22" s="208"/>
      <c r="C22" s="208"/>
      <c r="D22" s="208"/>
      <c r="E22" s="208"/>
      <c r="F22" s="208"/>
      <c r="G22" s="223">
        <v>10</v>
      </c>
      <c r="H22" s="164"/>
      <c r="I22" s="217"/>
      <c r="J22" s="218"/>
      <c r="K22" s="218"/>
      <c r="L22" s="218"/>
      <c r="M22" s="218"/>
      <c r="N22" s="218"/>
      <c r="O22" s="219"/>
    </row>
    <row r="23" spans="1:15" ht="15" customHeight="1">
      <c r="A23" s="208"/>
      <c r="B23" s="208"/>
      <c r="C23" s="208"/>
      <c r="D23" s="208"/>
      <c r="E23" s="208"/>
      <c r="F23" s="208"/>
      <c r="G23" s="223"/>
      <c r="H23" s="164"/>
      <c r="I23" s="217"/>
      <c r="J23" s="218"/>
      <c r="K23" s="218"/>
      <c r="L23" s="218"/>
      <c r="M23" s="218"/>
      <c r="N23" s="218"/>
      <c r="O23" s="219"/>
    </row>
    <row r="24" spans="1:15" ht="15" customHeight="1">
      <c r="A24" s="208" t="s">
        <v>190</v>
      </c>
      <c r="B24" s="208"/>
      <c r="C24" s="208"/>
      <c r="D24" s="208"/>
      <c r="E24" s="208"/>
      <c r="F24" s="208"/>
      <c r="G24" s="223">
        <v>11</v>
      </c>
      <c r="H24" s="164"/>
      <c r="I24" s="217"/>
      <c r="J24" s="218"/>
      <c r="K24" s="218"/>
      <c r="L24" s="218"/>
      <c r="M24" s="218"/>
      <c r="N24" s="218"/>
      <c r="O24" s="219"/>
    </row>
    <row r="25" spans="1:15" ht="30" customHeight="1">
      <c r="A25" s="208"/>
      <c r="B25" s="208"/>
      <c r="C25" s="208"/>
      <c r="D25" s="208"/>
      <c r="E25" s="208"/>
      <c r="F25" s="208"/>
      <c r="G25" s="223"/>
      <c r="H25" s="164"/>
      <c r="I25" s="217"/>
      <c r="J25" s="218"/>
      <c r="K25" s="218"/>
      <c r="L25" s="218"/>
      <c r="M25" s="218"/>
      <c r="N25" s="218"/>
      <c r="O25" s="219"/>
    </row>
    <row r="26" spans="1:15">
      <c r="A26" s="133" t="s">
        <v>187</v>
      </c>
      <c r="G26" s="125">
        <f t="shared" ref="G26:G30" si="0">$G$15*0.05</f>
        <v>21750000</v>
      </c>
      <c r="H26" s="164"/>
      <c r="I26" s="217"/>
      <c r="J26" s="218"/>
      <c r="K26" s="218"/>
      <c r="L26" s="218"/>
      <c r="M26" s="218"/>
      <c r="N26" s="218"/>
      <c r="O26" s="219"/>
    </row>
    <row r="27" spans="1:15">
      <c r="A27" s="208" t="s">
        <v>188</v>
      </c>
      <c r="B27" s="208"/>
      <c r="C27" s="208"/>
      <c r="D27" s="208"/>
      <c r="E27" s="208"/>
      <c r="F27" s="208"/>
      <c r="G27" s="223">
        <v>10</v>
      </c>
      <c r="H27" s="164"/>
      <c r="I27" s="217"/>
      <c r="J27" s="218"/>
      <c r="K27" s="218"/>
      <c r="L27" s="218"/>
      <c r="M27" s="218"/>
      <c r="N27" s="218"/>
      <c r="O27" s="219"/>
    </row>
    <row r="28" spans="1:15">
      <c r="A28" s="208"/>
      <c r="B28" s="208"/>
      <c r="C28" s="208"/>
      <c r="D28" s="208"/>
      <c r="E28" s="208"/>
      <c r="F28" s="208"/>
      <c r="G28" s="223"/>
      <c r="H28" s="164"/>
      <c r="I28" s="217"/>
      <c r="J28" s="218"/>
      <c r="K28" s="218"/>
      <c r="L28" s="218"/>
      <c r="M28" s="218"/>
      <c r="N28" s="218"/>
      <c r="O28" s="219"/>
    </row>
    <row r="29" spans="1:15" ht="15" customHeight="1">
      <c r="A29" s="208" t="s">
        <v>189</v>
      </c>
      <c r="B29" s="208"/>
      <c r="C29" s="208"/>
      <c r="D29" s="208"/>
      <c r="E29" s="208"/>
      <c r="F29" s="208"/>
      <c r="G29" s="172">
        <v>21</v>
      </c>
      <c r="H29" s="164"/>
      <c r="I29" s="217"/>
      <c r="J29" s="218"/>
      <c r="K29" s="218"/>
      <c r="L29" s="218"/>
      <c r="M29" s="218"/>
      <c r="N29" s="218"/>
      <c r="O29" s="219"/>
    </row>
    <row r="30" spans="1:15">
      <c r="A30" s="208" t="s">
        <v>192</v>
      </c>
      <c r="B30" s="208"/>
      <c r="C30" s="208"/>
      <c r="D30" s="208"/>
      <c r="E30" s="208"/>
      <c r="F30" s="208"/>
      <c r="G30" s="125">
        <f t="shared" si="0"/>
        <v>21750000</v>
      </c>
      <c r="H30" s="164"/>
      <c r="I30" s="217"/>
      <c r="J30" s="218"/>
      <c r="K30" s="218"/>
      <c r="L30" s="218"/>
      <c r="M30" s="218"/>
      <c r="N30" s="218"/>
      <c r="O30" s="219"/>
    </row>
    <row r="31" spans="1:15">
      <c r="A31" s="208" t="s">
        <v>193</v>
      </c>
      <c r="B31" s="208"/>
      <c r="C31" s="208"/>
      <c r="D31" s="208"/>
      <c r="E31" s="208"/>
      <c r="F31" s="208"/>
      <c r="G31" s="223">
        <v>10</v>
      </c>
      <c r="I31" s="217"/>
      <c r="J31" s="218"/>
      <c r="K31" s="218"/>
      <c r="L31" s="218"/>
      <c r="M31" s="218"/>
      <c r="N31" s="218"/>
      <c r="O31" s="219"/>
    </row>
    <row r="32" spans="1:15">
      <c r="A32" s="208"/>
      <c r="B32" s="208"/>
      <c r="C32" s="208"/>
      <c r="D32" s="208"/>
      <c r="E32" s="208"/>
      <c r="F32" s="208"/>
      <c r="G32" s="223"/>
      <c r="I32" s="217"/>
      <c r="J32" s="218"/>
      <c r="K32" s="218"/>
      <c r="L32" s="218"/>
      <c r="M32" s="218"/>
      <c r="N32" s="218"/>
      <c r="O32" s="219"/>
    </row>
    <row r="33" spans="1:15">
      <c r="A33" s="133" t="s">
        <v>194</v>
      </c>
      <c r="G33" s="172">
        <v>31</v>
      </c>
      <c r="I33" s="217"/>
      <c r="J33" s="218"/>
      <c r="K33" s="218"/>
      <c r="L33" s="218"/>
      <c r="M33" s="218"/>
      <c r="N33" s="218"/>
      <c r="O33" s="219"/>
    </row>
    <row r="34" spans="1:15">
      <c r="A34" s="133" t="s">
        <v>195</v>
      </c>
      <c r="G34" s="165">
        <v>1</v>
      </c>
      <c r="I34" s="220"/>
      <c r="J34" s="221"/>
      <c r="K34" s="221"/>
      <c r="L34" s="221"/>
      <c r="M34" s="221"/>
      <c r="N34" s="221"/>
      <c r="O34" s="222"/>
    </row>
    <row r="35" spans="1:15" s="157" customFormat="1">
      <c r="G35" s="173"/>
      <c r="I35" s="160"/>
      <c r="J35" s="160"/>
      <c r="K35" s="160"/>
      <c r="L35" s="160"/>
      <c r="M35" s="160"/>
      <c r="N35" s="160"/>
      <c r="O35" s="160"/>
    </row>
    <row r="36" spans="1:15">
      <c r="G36" s="174"/>
    </row>
    <row r="37" spans="1:15" ht="15" customHeight="1">
      <c r="A37" s="161" t="s">
        <v>5</v>
      </c>
      <c r="F37" s="175" t="s">
        <v>80</v>
      </c>
      <c r="G37" s="176">
        <f>G38+G39</f>
        <v>17000000</v>
      </c>
      <c r="I37" s="199" t="s">
        <v>204</v>
      </c>
      <c r="J37" s="200"/>
      <c r="K37" s="200"/>
      <c r="L37" s="200"/>
      <c r="M37" s="200"/>
      <c r="N37" s="200"/>
      <c r="O37" s="201"/>
    </row>
    <row r="38" spans="1:15" ht="15" customHeight="1">
      <c r="A38" s="133" t="s">
        <v>197</v>
      </c>
      <c r="G38" s="125">
        <v>15000000</v>
      </c>
      <c r="H38" s="164"/>
      <c r="I38" s="202"/>
      <c r="J38" s="203"/>
      <c r="K38" s="203"/>
      <c r="L38" s="203"/>
      <c r="M38" s="203"/>
      <c r="N38" s="203"/>
      <c r="O38" s="204"/>
    </row>
    <row r="39" spans="1:15">
      <c r="A39" s="133" t="s">
        <v>198</v>
      </c>
      <c r="G39" s="125">
        <v>2000000</v>
      </c>
      <c r="H39" s="164"/>
      <c r="I39" s="202"/>
      <c r="J39" s="203"/>
      <c r="K39" s="203"/>
      <c r="L39" s="203"/>
      <c r="M39" s="203"/>
      <c r="N39" s="203"/>
      <c r="O39" s="204"/>
    </row>
    <row r="40" spans="1:15">
      <c r="G40" s="177"/>
      <c r="H40" s="164"/>
      <c r="I40" s="202"/>
      <c r="J40" s="203"/>
      <c r="K40" s="203"/>
      <c r="L40" s="203"/>
      <c r="M40" s="203"/>
      <c r="N40" s="203"/>
      <c r="O40" s="204"/>
    </row>
    <row r="41" spans="1:15">
      <c r="G41" s="177"/>
      <c r="H41" s="164"/>
      <c r="I41" s="205"/>
      <c r="J41" s="206"/>
      <c r="K41" s="206"/>
      <c r="L41" s="206"/>
      <c r="M41" s="206"/>
      <c r="N41" s="206"/>
      <c r="O41" s="207"/>
    </row>
    <row r="42" spans="1:15">
      <c r="G42" s="177"/>
      <c r="H42" s="164"/>
      <c r="I42" s="178"/>
      <c r="J42" s="178"/>
      <c r="K42" s="178"/>
      <c r="L42" s="178"/>
      <c r="M42" s="178"/>
      <c r="N42" s="178"/>
      <c r="O42" s="178"/>
    </row>
    <row r="43" spans="1:15">
      <c r="G43" s="174"/>
    </row>
    <row r="44" spans="1:15" ht="15" customHeight="1">
      <c r="A44" s="161" t="s">
        <v>6</v>
      </c>
      <c r="F44" s="175" t="s">
        <v>80</v>
      </c>
      <c r="G44" s="176">
        <f>SUM(G45:G54)</f>
        <v>25000000</v>
      </c>
      <c r="H44" s="164"/>
      <c r="I44" s="190" t="s">
        <v>205</v>
      </c>
      <c r="J44" s="191"/>
      <c r="K44" s="191"/>
      <c r="L44" s="191"/>
      <c r="M44" s="191"/>
      <c r="N44" s="191"/>
      <c r="O44" s="192"/>
    </row>
    <row r="45" spans="1:15">
      <c r="A45" s="208" t="s">
        <v>199</v>
      </c>
      <c r="B45" s="208"/>
      <c r="C45" s="208"/>
      <c r="D45" s="208"/>
      <c r="E45" s="208"/>
      <c r="F45" s="208"/>
      <c r="G45" s="209">
        <v>5000000</v>
      </c>
      <c r="I45" s="193"/>
      <c r="J45" s="194"/>
      <c r="K45" s="194"/>
      <c r="L45" s="194"/>
      <c r="M45" s="194"/>
      <c r="N45" s="194"/>
      <c r="O45" s="195"/>
    </row>
    <row r="46" spans="1:15">
      <c r="A46" s="208"/>
      <c r="B46" s="208"/>
      <c r="C46" s="208"/>
      <c r="D46" s="208"/>
      <c r="E46" s="208"/>
      <c r="F46" s="208"/>
      <c r="G46" s="209"/>
      <c r="I46" s="193"/>
      <c r="J46" s="194"/>
      <c r="K46" s="194"/>
      <c r="L46" s="194"/>
      <c r="M46" s="194"/>
      <c r="N46" s="194"/>
      <c r="O46" s="195"/>
    </row>
    <row r="47" spans="1:15">
      <c r="A47" s="210" t="s">
        <v>200</v>
      </c>
      <c r="B47" s="210"/>
      <c r="C47" s="210"/>
      <c r="D47" s="210"/>
      <c r="E47" s="210"/>
      <c r="F47" s="210"/>
      <c r="G47" s="209">
        <v>7500000</v>
      </c>
      <c r="I47" s="193"/>
      <c r="J47" s="194"/>
      <c r="K47" s="194"/>
      <c r="L47" s="194"/>
      <c r="M47" s="194"/>
      <c r="N47" s="194"/>
      <c r="O47" s="195"/>
    </row>
    <row r="48" spans="1:15">
      <c r="A48" s="210"/>
      <c r="B48" s="210"/>
      <c r="C48" s="210"/>
      <c r="D48" s="210"/>
      <c r="E48" s="210"/>
      <c r="F48" s="210"/>
      <c r="G48" s="209"/>
      <c r="I48" s="193"/>
      <c r="J48" s="194"/>
      <c r="K48" s="194"/>
      <c r="L48" s="194"/>
      <c r="M48" s="194"/>
      <c r="N48" s="194"/>
      <c r="O48" s="195"/>
    </row>
    <row r="49" spans="1:15">
      <c r="A49" s="133" t="s">
        <v>201</v>
      </c>
      <c r="G49" s="125">
        <v>5000000</v>
      </c>
      <c r="I49" s="193"/>
      <c r="J49" s="194"/>
      <c r="K49" s="194"/>
      <c r="L49" s="194"/>
      <c r="M49" s="194"/>
      <c r="N49" s="194"/>
      <c r="O49" s="195"/>
    </row>
    <row r="50" spans="1:15">
      <c r="A50" s="133" t="s">
        <v>202</v>
      </c>
      <c r="G50" s="125">
        <v>2500000</v>
      </c>
      <c r="I50" s="193"/>
      <c r="J50" s="194"/>
      <c r="K50" s="194"/>
      <c r="L50" s="194"/>
      <c r="M50" s="194"/>
      <c r="N50" s="194"/>
      <c r="O50" s="195"/>
    </row>
    <row r="51" spans="1:15">
      <c r="A51" s="208" t="s">
        <v>284</v>
      </c>
      <c r="B51" s="208"/>
      <c r="C51" s="208"/>
      <c r="D51" s="208"/>
      <c r="E51" s="208"/>
      <c r="F51" s="208"/>
      <c r="G51" s="209">
        <v>1250000</v>
      </c>
      <c r="I51" s="193"/>
      <c r="J51" s="194"/>
      <c r="K51" s="194"/>
      <c r="L51" s="194"/>
      <c r="M51" s="194"/>
      <c r="N51" s="194"/>
      <c r="O51" s="195"/>
    </row>
    <row r="52" spans="1:15">
      <c r="A52" s="208"/>
      <c r="B52" s="208"/>
      <c r="C52" s="208"/>
      <c r="D52" s="208"/>
      <c r="E52" s="208"/>
      <c r="F52" s="208"/>
      <c r="G52" s="209"/>
      <c r="I52" s="193"/>
      <c r="J52" s="194"/>
      <c r="K52" s="194"/>
      <c r="L52" s="194"/>
      <c r="M52" s="194"/>
      <c r="N52" s="194"/>
      <c r="O52" s="195"/>
    </row>
    <row r="53" spans="1:15">
      <c r="A53" s="133" t="s">
        <v>272</v>
      </c>
      <c r="G53" s="125">
        <v>2500000</v>
      </c>
      <c r="I53" s="193"/>
      <c r="J53" s="194"/>
      <c r="K53" s="194"/>
      <c r="L53" s="194"/>
      <c r="M53" s="194"/>
      <c r="N53" s="194"/>
      <c r="O53" s="195"/>
    </row>
    <row r="54" spans="1:15">
      <c r="A54" s="133" t="s">
        <v>203</v>
      </c>
      <c r="G54" s="125">
        <v>1250000</v>
      </c>
      <c r="I54" s="196"/>
      <c r="J54" s="197"/>
      <c r="K54" s="197"/>
      <c r="L54" s="197"/>
      <c r="M54" s="197"/>
      <c r="N54" s="197"/>
      <c r="O54" s="198"/>
    </row>
    <row r="55" spans="1:15" s="157" customFormat="1">
      <c r="G55" s="177"/>
      <c r="I55" s="160"/>
      <c r="J55" s="160"/>
      <c r="K55" s="160"/>
      <c r="L55" s="160"/>
      <c r="M55" s="160"/>
      <c r="N55" s="160"/>
      <c r="O55" s="160"/>
    </row>
    <row r="56" spans="1:15">
      <c r="G56" s="174"/>
    </row>
    <row r="57" spans="1:15" ht="15" customHeight="1">
      <c r="A57" s="161" t="s">
        <v>7</v>
      </c>
      <c r="B57" s="157"/>
      <c r="G57" s="176">
        <f>IF(G58="n",G64,IF(AND(G58="y", G61=0),G15*G60, IF(AND(G58="y",G61&gt;0),G61*G60,"error")))</f>
        <v>65250000</v>
      </c>
      <c r="I57" s="214" t="str">
        <f>"This represents the  value of the decommissioning costs (including final waste disposal) in year 40 in "&amp;G18&amp;" currency. Operator must input the percentage of original infrastructure costs or set values."</f>
        <v>This represents the  value of the decommissioning costs (including final waste disposal) in year 40 in 2012 currency. Operator must input the percentage of original infrastructure costs or set values.</v>
      </c>
      <c r="J57" s="215"/>
      <c r="K57" s="215"/>
      <c r="L57" s="215"/>
      <c r="M57" s="215"/>
      <c r="N57" s="215"/>
      <c r="O57" s="216"/>
    </row>
    <row r="58" spans="1:15">
      <c r="A58" s="210" t="s">
        <v>215</v>
      </c>
      <c r="B58" s="210"/>
      <c r="C58" s="210"/>
      <c r="D58" s="210"/>
      <c r="E58" s="210"/>
      <c r="F58" s="210"/>
      <c r="G58" s="211" t="s">
        <v>216</v>
      </c>
      <c r="H58" s="164"/>
      <c r="I58" s="217"/>
      <c r="J58" s="218"/>
      <c r="K58" s="218"/>
      <c r="L58" s="218"/>
      <c r="M58" s="218"/>
      <c r="N58" s="218"/>
      <c r="O58" s="219"/>
    </row>
    <row r="59" spans="1:15">
      <c r="A59" s="210"/>
      <c r="B59" s="210"/>
      <c r="C59" s="210"/>
      <c r="D59" s="210"/>
      <c r="E59" s="210"/>
      <c r="F59" s="210"/>
      <c r="G59" s="211"/>
      <c r="H59" s="164"/>
      <c r="I59" s="217"/>
      <c r="J59" s="218"/>
      <c r="K59" s="218"/>
      <c r="L59" s="218"/>
      <c r="M59" s="218"/>
      <c r="N59" s="218"/>
      <c r="O59" s="219"/>
    </row>
    <row r="60" spans="1:15" s="157" customFormat="1">
      <c r="A60" s="157" t="s">
        <v>217</v>
      </c>
      <c r="G60" s="117">
        <v>0.15</v>
      </c>
      <c r="H60" s="179"/>
      <c r="I60" s="217"/>
      <c r="J60" s="218"/>
      <c r="K60" s="218"/>
      <c r="L60" s="218"/>
      <c r="M60" s="218"/>
      <c r="N60" s="218"/>
      <c r="O60" s="219"/>
    </row>
    <row r="61" spans="1:15" s="157" customFormat="1" ht="15" customHeight="1">
      <c r="A61" s="212" t="s">
        <v>219</v>
      </c>
      <c r="B61" s="212"/>
      <c r="C61" s="212"/>
      <c r="D61" s="212"/>
      <c r="E61" s="212"/>
      <c r="F61" s="212"/>
      <c r="G61" s="213">
        <v>0</v>
      </c>
      <c r="H61" s="179"/>
      <c r="I61" s="217"/>
      <c r="J61" s="218"/>
      <c r="K61" s="218"/>
      <c r="L61" s="218"/>
      <c r="M61" s="218"/>
      <c r="N61" s="218"/>
      <c r="O61" s="219"/>
    </row>
    <row r="62" spans="1:15" s="157" customFormat="1">
      <c r="A62" s="212"/>
      <c r="B62" s="212"/>
      <c r="C62" s="212"/>
      <c r="D62" s="212"/>
      <c r="E62" s="212"/>
      <c r="F62" s="212"/>
      <c r="G62" s="213"/>
      <c r="H62" s="179"/>
      <c r="I62" s="217"/>
      <c r="J62" s="218"/>
      <c r="K62" s="218"/>
      <c r="L62" s="218"/>
      <c r="M62" s="218"/>
      <c r="N62" s="218"/>
      <c r="O62" s="219"/>
    </row>
    <row r="63" spans="1:15" s="157" customFormat="1">
      <c r="A63" s="212"/>
      <c r="B63" s="212"/>
      <c r="C63" s="212"/>
      <c r="D63" s="212"/>
      <c r="E63" s="212"/>
      <c r="F63" s="212"/>
      <c r="G63" s="213"/>
      <c r="H63" s="179"/>
      <c r="I63" s="217"/>
      <c r="J63" s="218"/>
      <c r="K63" s="218"/>
      <c r="L63" s="218"/>
      <c r="M63" s="218"/>
      <c r="N63" s="218"/>
      <c r="O63" s="219"/>
    </row>
    <row r="64" spans="1:15" s="157" customFormat="1">
      <c r="A64" s="157" t="s">
        <v>218</v>
      </c>
      <c r="G64" s="180">
        <v>0</v>
      </c>
      <c r="H64" s="179"/>
      <c r="I64" s="220"/>
      <c r="J64" s="221"/>
      <c r="K64" s="221"/>
      <c r="L64" s="221"/>
      <c r="M64" s="221"/>
      <c r="N64" s="221"/>
      <c r="O64" s="222"/>
    </row>
    <row r="65" spans="1:15" s="157" customFormat="1">
      <c r="G65" s="181"/>
      <c r="H65" s="179"/>
      <c r="I65" s="182"/>
      <c r="J65" s="182"/>
      <c r="K65" s="182"/>
      <c r="L65" s="182"/>
      <c r="M65" s="182"/>
      <c r="N65" s="182"/>
      <c r="O65" s="182"/>
    </row>
    <row r="66" spans="1:15">
      <c r="G66" s="174"/>
    </row>
    <row r="67" spans="1:15" ht="14.25" customHeight="1">
      <c r="A67" s="161" t="s">
        <v>196</v>
      </c>
      <c r="F67" s="175" t="s">
        <v>80</v>
      </c>
      <c r="G67" s="176">
        <f>SUM(G68:G74)</f>
        <v>2500000</v>
      </c>
      <c r="H67" s="164"/>
      <c r="I67" s="190" t="s">
        <v>282</v>
      </c>
      <c r="J67" s="191"/>
      <c r="K67" s="191"/>
      <c r="L67" s="191"/>
      <c r="M67" s="191"/>
      <c r="N67" s="191"/>
      <c r="O67" s="192"/>
    </row>
    <row r="68" spans="1:15" ht="15" customHeight="1">
      <c r="A68" s="133" t="s">
        <v>207</v>
      </c>
      <c r="G68" s="125">
        <v>0</v>
      </c>
      <c r="I68" s="193"/>
      <c r="J68" s="194"/>
      <c r="K68" s="194"/>
      <c r="L68" s="194"/>
      <c r="M68" s="194"/>
      <c r="N68" s="194"/>
      <c r="O68" s="195"/>
    </row>
    <row r="69" spans="1:15">
      <c r="A69" s="133" t="s">
        <v>206</v>
      </c>
      <c r="G69" s="125">
        <v>1000000</v>
      </c>
      <c r="I69" s="193"/>
      <c r="J69" s="194"/>
      <c r="K69" s="194"/>
      <c r="L69" s="194"/>
      <c r="M69" s="194"/>
      <c r="N69" s="194"/>
      <c r="O69" s="195"/>
    </row>
    <row r="70" spans="1:15">
      <c r="A70" s="133" t="s">
        <v>208</v>
      </c>
      <c r="G70" s="125">
        <v>500000</v>
      </c>
      <c r="I70" s="193"/>
      <c r="J70" s="194"/>
      <c r="K70" s="194"/>
      <c r="L70" s="194"/>
      <c r="M70" s="194"/>
      <c r="N70" s="194"/>
      <c r="O70" s="195"/>
    </row>
    <row r="71" spans="1:15" ht="17.25">
      <c r="A71" s="133" t="s">
        <v>209</v>
      </c>
      <c r="G71" s="125">
        <v>1000000</v>
      </c>
      <c r="I71" s="193"/>
      <c r="J71" s="194"/>
      <c r="K71" s="194"/>
      <c r="L71" s="194"/>
      <c r="M71" s="194"/>
      <c r="N71" s="194"/>
      <c r="O71" s="195"/>
    </row>
    <row r="72" spans="1:15" ht="15" customHeight="1">
      <c r="A72" s="208" t="s">
        <v>273</v>
      </c>
      <c r="B72" s="208"/>
      <c r="C72" s="208"/>
      <c r="D72" s="208"/>
      <c r="E72" s="208"/>
      <c r="F72" s="208"/>
      <c r="G72" s="209">
        <v>0</v>
      </c>
      <c r="I72" s="193"/>
      <c r="J72" s="194"/>
      <c r="K72" s="194"/>
      <c r="L72" s="194"/>
      <c r="M72" s="194"/>
      <c r="N72" s="194"/>
      <c r="O72" s="195"/>
    </row>
    <row r="73" spans="1:15" ht="15" customHeight="1">
      <c r="A73" s="208"/>
      <c r="B73" s="208"/>
      <c r="C73" s="208"/>
      <c r="D73" s="208"/>
      <c r="E73" s="208"/>
      <c r="F73" s="208"/>
      <c r="G73" s="209"/>
      <c r="I73" s="193"/>
      <c r="J73" s="194"/>
      <c r="K73" s="194"/>
      <c r="L73" s="194"/>
      <c r="M73" s="194"/>
      <c r="N73" s="194"/>
      <c r="O73" s="195"/>
    </row>
    <row r="74" spans="1:15">
      <c r="A74" s="208" t="s">
        <v>281</v>
      </c>
      <c r="B74" s="208"/>
      <c r="C74" s="208"/>
      <c r="D74" s="208"/>
      <c r="E74" s="208"/>
      <c r="F74" s="208"/>
      <c r="G74" s="209">
        <v>0</v>
      </c>
      <c r="I74" s="193"/>
      <c r="J74" s="194"/>
      <c r="K74" s="194"/>
      <c r="L74" s="194"/>
      <c r="M74" s="194"/>
      <c r="N74" s="194"/>
      <c r="O74" s="195"/>
    </row>
    <row r="75" spans="1:15">
      <c r="A75" s="208"/>
      <c r="B75" s="208"/>
      <c r="C75" s="208"/>
      <c r="D75" s="208"/>
      <c r="E75" s="208"/>
      <c r="F75" s="208"/>
      <c r="G75" s="209"/>
      <c r="I75" s="196"/>
      <c r="J75" s="197"/>
      <c r="K75" s="197"/>
      <c r="L75" s="197"/>
      <c r="M75" s="197"/>
      <c r="N75" s="197"/>
      <c r="O75" s="198"/>
    </row>
    <row r="76" spans="1:15">
      <c r="A76" s="183"/>
      <c r="B76" s="183"/>
      <c r="C76" s="183"/>
      <c r="D76" s="183"/>
      <c r="E76" s="183"/>
      <c r="F76" s="183"/>
      <c r="G76" s="177"/>
      <c r="I76" s="160"/>
      <c r="J76" s="160"/>
      <c r="K76" s="160"/>
      <c r="L76" s="160"/>
      <c r="M76" s="160"/>
      <c r="N76" s="160"/>
      <c r="O76" s="160"/>
    </row>
    <row r="77" spans="1:15">
      <c r="B77" s="184"/>
      <c r="C77" s="185"/>
      <c r="D77" s="185"/>
      <c r="E77" s="185"/>
      <c r="G77" s="177"/>
      <c r="I77" s="160"/>
      <c r="J77" s="160"/>
      <c r="K77" s="160"/>
      <c r="L77" s="160"/>
      <c r="M77" s="160"/>
      <c r="N77" s="160"/>
      <c r="O77" s="160"/>
    </row>
    <row r="78" spans="1:15">
      <c r="A78" s="224" t="s">
        <v>130</v>
      </c>
      <c r="B78" s="224"/>
      <c r="C78" s="224"/>
      <c r="D78" s="224"/>
      <c r="E78" s="224"/>
      <c r="F78" s="224"/>
    </row>
    <row r="79" spans="1:15">
      <c r="A79" s="161" t="s">
        <v>48</v>
      </c>
    </row>
    <row r="80" spans="1:15">
      <c r="A80" s="133" t="s">
        <v>210</v>
      </c>
      <c r="E80" s="186" t="s">
        <v>119</v>
      </c>
      <c r="F80" s="117">
        <v>0.05</v>
      </c>
    </row>
    <row r="81" spans="1:15">
      <c r="A81" s="133" t="s">
        <v>211</v>
      </c>
      <c r="E81" s="186" t="s">
        <v>120</v>
      </c>
      <c r="F81" s="117">
        <v>0.02</v>
      </c>
    </row>
    <row r="82" spans="1:15">
      <c r="B82" s="133" t="s">
        <v>39</v>
      </c>
      <c r="E82" s="186"/>
      <c r="F82" s="189">
        <f>((1+F80)/(1+F81))-1</f>
        <v>2.941176470588247E-2</v>
      </c>
    </row>
    <row r="83" spans="1:15">
      <c r="E83" s="186"/>
      <c r="F83" s="187"/>
    </row>
    <row r="85" spans="1:15">
      <c r="A85" s="161" t="s">
        <v>131</v>
      </c>
      <c r="I85" s="163"/>
      <c r="J85" s="163"/>
      <c r="K85" s="163"/>
      <c r="L85" s="163"/>
      <c r="M85" s="163"/>
      <c r="N85" s="163"/>
      <c r="O85" s="163"/>
    </row>
    <row r="86" spans="1:15">
      <c r="A86" s="208" t="s">
        <v>212</v>
      </c>
      <c r="B86" s="208"/>
      <c r="C86" s="208"/>
      <c r="D86" s="208"/>
      <c r="E86" s="208"/>
      <c r="F86" s="211">
        <v>2000</v>
      </c>
      <c r="I86" s="163"/>
      <c r="J86" s="163"/>
      <c r="K86" s="163"/>
      <c r="L86" s="163"/>
      <c r="M86" s="163"/>
      <c r="N86" s="163"/>
      <c r="O86" s="163"/>
    </row>
    <row r="87" spans="1:15">
      <c r="A87" s="208"/>
      <c r="B87" s="208"/>
      <c r="C87" s="208"/>
      <c r="D87" s="208"/>
      <c r="E87" s="208"/>
      <c r="F87" s="211"/>
      <c r="I87" s="163"/>
      <c r="J87" s="163"/>
      <c r="K87" s="163"/>
      <c r="L87" s="163"/>
      <c r="M87" s="163"/>
      <c r="N87" s="163"/>
      <c r="O87" s="163"/>
    </row>
    <row r="88" spans="1:15" ht="17.25" customHeight="1">
      <c r="A88" s="208" t="s">
        <v>213</v>
      </c>
      <c r="B88" s="208"/>
      <c r="C88" s="208"/>
      <c r="D88" s="208"/>
      <c r="E88" s="208"/>
      <c r="F88" s="211">
        <v>37</v>
      </c>
    </row>
    <row r="89" spans="1:15">
      <c r="A89" s="208"/>
      <c r="B89" s="208"/>
      <c r="C89" s="208"/>
      <c r="D89" s="208"/>
      <c r="E89" s="208"/>
      <c r="F89" s="211"/>
    </row>
    <row r="90" spans="1:15">
      <c r="A90" s="208" t="s">
        <v>214</v>
      </c>
      <c r="B90" s="208"/>
      <c r="C90" s="208"/>
      <c r="D90" s="208"/>
      <c r="E90" s="208"/>
      <c r="F90" s="211">
        <v>5</v>
      </c>
    </row>
    <row r="91" spans="1:15">
      <c r="A91" s="208"/>
      <c r="B91" s="208"/>
      <c r="C91" s="208"/>
      <c r="D91" s="208"/>
      <c r="E91" s="208"/>
      <c r="F91" s="211"/>
    </row>
  </sheetData>
  <sheetProtection password="C907" sheet="1" objects="1" scenarios="1"/>
  <mergeCells count="47">
    <mergeCell ref="A88:E89"/>
    <mergeCell ref="F88:F89"/>
    <mergeCell ref="F86:F87"/>
    <mergeCell ref="A90:E91"/>
    <mergeCell ref="F90:F91"/>
    <mergeCell ref="A86:E87"/>
    <mergeCell ref="A78:F78"/>
    <mergeCell ref="A51:F52"/>
    <mergeCell ref="G51:G52"/>
    <mergeCell ref="A4:O10"/>
    <mergeCell ref="B17:F17"/>
    <mergeCell ref="A19:F20"/>
    <mergeCell ref="G19:G20"/>
    <mergeCell ref="A27:F28"/>
    <mergeCell ref="G27:G28"/>
    <mergeCell ref="A22:F23"/>
    <mergeCell ref="G22:G23"/>
    <mergeCell ref="I21:O34"/>
    <mergeCell ref="A24:F25"/>
    <mergeCell ref="G24:G25"/>
    <mergeCell ref="A29:F29"/>
    <mergeCell ref="A30:F30"/>
    <mergeCell ref="A31:F32"/>
    <mergeCell ref="G31:G32"/>
    <mergeCell ref="A12:E12"/>
    <mergeCell ref="I12:O12"/>
    <mergeCell ref="I17:O17"/>
    <mergeCell ref="A15:F16"/>
    <mergeCell ref="I15:O16"/>
    <mergeCell ref="A18:F18"/>
    <mergeCell ref="G15:G16"/>
    <mergeCell ref="I44:O54"/>
    <mergeCell ref="I37:O41"/>
    <mergeCell ref="A72:F73"/>
    <mergeCell ref="A74:F75"/>
    <mergeCell ref="G74:G75"/>
    <mergeCell ref="I67:O75"/>
    <mergeCell ref="A58:F59"/>
    <mergeCell ref="G58:G59"/>
    <mergeCell ref="A61:F63"/>
    <mergeCell ref="G61:G63"/>
    <mergeCell ref="I57:O64"/>
    <mergeCell ref="A45:F46"/>
    <mergeCell ref="A47:F48"/>
    <mergeCell ref="G45:G46"/>
    <mergeCell ref="G47:G48"/>
    <mergeCell ref="G72:G73"/>
  </mergeCell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1:G68"/>
  <sheetViews>
    <sheetView topLeftCell="A25" workbookViewId="0">
      <selection activeCell="J40" sqref="J40"/>
    </sheetView>
  </sheetViews>
  <sheetFormatPr defaultRowHeight="15"/>
  <cols>
    <col min="2" max="2" width="16.28515625" customWidth="1"/>
    <col min="3" max="3" width="12" style="8" customWidth="1"/>
    <col min="4" max="4" width="16" customWidth="1"/>
    <col min="5" max="5" width="17.42578125" customWidth="1"/>
    <col min="6" max="6" width="19" customWidth="1"/>
    <col min="7" max="7" width="21.5703125" customWidth="1"/>
  </cols>
  <sheetData>
    <row r="1" spans="2:7" ht="18">
      <c r="B1" s="20" t="s">
        <v>224</v>
      </c>
      <c r="F1" s="6" t="s">
        <v>93</v>
      </c>
    </row>
    <row r="2" spans="2:7" ht="15.75" thickBot="1">
      <c r="B2" s="20"/>
      <c r="C2" s="74"/>
      <c r="F2" s="6"/>
    </row>
    <row r="3" spans="2:7">
      <c r="B3" s="244" t="s">
        <v>231</v>
      </c>
      <c r="C3" s="245"/>
      <c r="D3" s="245"/>
      <c r="E3" s="245"/>
      <c r="F3" s="245"/>
      <c r="G3" s="246"/>
    </row>
    <row r="4" spans="2:7">
      <c r="B4" s="247"/>
      <c r="C4" s="248"/>
      <c r="D4" s="248"/>
      <c r="E4" s="248"/>
      <c r="F4" s="248"/>
      <c r="G4" s="249"/>
    </row>
    <row r="5" spans="2:7">
      <c r="B5" s="247"/>
      <c r="C5" s="248"/>
      <c r="D5" s="248"/>
      <c r="E5" s="248"/>
      <c r="F5" s="248"/>
      <c r="G5" s="249"/>
    </row>
    <row r="6" spans="2:7" ht="15.75" thickBot="1">
      <c r="B6" s="250"/>
      <c r="C6" s="251"/>
      <c r="D6" s="251"/>
      <c r="E6" s="251"/>
      <c r="F6" s="251"/>
      <c r="G6" s="252"/>
    </row>
    <row r="7" spans="2:7" ht="15.75" thickBot="1">
      <c r="B7" s="20"/>
      <c r="C7" s="74"/>
      <c r="F7" s="6"/>
    </row>
    <row r="8" spans="2:7" ht="15.75" thickBot="1">
      <c r="B8" s="241" t="s">
        <v>96</v>
      </c>
      <c r="C8" s="242"/>
      <c r="D8" s="243"/>
      <c r="E8" s="6"/>
    </row>
    <row r="9" spans="2:7">
      <c r="B9" t="s">
        <v>36</v>
      </c>
      <c r="C9" s="11"/>
      <c r="E9" s="53">
        <v>40</v>
      </c>
      <c r="F9" t="s">
        <v>37</v>
      </c>
    </row>
    <row r="10" spans="2:7">
      <c r="B10" t="s">
        <v>42</v>
      </c>
      <c r="C10" s="11"/>
      <c r="E10" s="53">
        <f>'Input Information'!G34</f>
        <v>1</v>
      </c>
    </row>
    <row r="11" spans="2:7">
      <c r="B11" t="s">
        <v>41</v>
      </c>
      <c r="C11" s="11"/>
      <c r="E11" s="54">
        <f>'Input Information'!F80</f>
        <v>0.05</v>
      </c>
    </row>
    <row r="12" spans="2:7">
      <c r="B12" t="s">
        <v>60</v>
      </c>
      <c r="C12" s="11"/>
      <c r="E12" s="54">
        <f>'Input Information'!F81</f>
        <v>0.02</v>
      </c>
    </row>
    <row r="13" spans="2:7">
      <c r="B13" t="s">
        <v>39</v>
      </c>
      <c r="C13" s="11"/>
      <c r="E13" s="55">
        <f>'Input Information'!F82</f>
        <v>2.941176470588247E-2</v>
      </c>
    </row>
    <row r="14" spans="2:7">
      <c r="B14" t="s">
        <v>220</v>
      </c>
      <c r="C14" s="11"/>
      <c r="E14" s="56">
        <f>'Input Information'!F86</f>
        <v>2000</v>
      </c>
    </row>
    <row r="15" spans="2:7">
      <c r="B15" t="s">
        <v>222</v>
      </c>
      <c r="C15" s="11"/>
      <c r="E15" s="56">
        <f>'Input Information'!F88</f>
        <v>37</v>
      </c>
    </row>
    <row r="16" spans="2:7">
      <c r="B16" t="s">
        <v>221</v>
      </c>
      <c r="C16" s="11"/>
      <c r="E16" s="56">
        <f>'Input Information'!F90</f>
        <v>5</v>
      </c>
    </row>
    <row r="17" spans="2:7" ht="15.75" thickBot="1">
      <c r="C17" s="11"/>
      <c r="E17" s="71"/>
    </row>
    <row r="18" spans="2:7">
      <c r="B18" s="253" t="s">
        <v>156</v>
      </c>
      <c r="C18" s="254"/>
      <c r="D18" s="255"/>
    </row>
    <row r="19" spans="2:7">
      <c r="B19" s="239" t="s">
        <v>95</v>
      </c>
      <c r="C19" s="240"/>
      <c r="D19" s="96">
        <f>E26/G26</f>
        <v>303.29162466570773</v>
      </c>
    </row>
    <row r="20" spans="2:7">
      <c r="B20" s="83"/>
      <c r="C20" s="141" t="s">
        <v>180</v>
      </c>
      <c r="D20" s="96"/>
    </row>
    <row r="21" spans="2:7">
      <c r="B21" s="239" t="str">
        <f>"Cost per cycle in "&amp;B28&amp;" €"</f>
        <v>Cost per cycle in 2012 €</v>
      </c>
      <c r="C21" s="240"/>
      <c r="D21" s="89">
        <f>D26/(E16*E9)</f>
        <v>4423048.0861342726</v>
      </c>
    </row>
    <row r="22" spans="2:7" ht="15" customHeight="1" thickBot="1">
      <c r="B22" s="256" t="s">
        <v>223</v>
      </c>
      <c r="C22" s="257"/>
      <c r="D22" s="258"/>
    </row>
    <row r="23" spans="2:7" ht="15.75" thickBot="1">
      <c r="B23" s="4"/>
      <c r="C23" s="11"/>
    </row>
    <row r="24" spans="2:7">
      <c r="B24" s="236" t="s">
        <v>157</v>
      </c>
      <c r="C24" s="237"/>
      <c r="D24" s="237"/>
      <c r="E24" s="237"/>
      <c r="F24" s="237"/>
      <c r="G24" s="238"/>
    </row>
    <row r="25" spans="2:7" ht="30">
      <c r="B25" s="142" t="s">
        <v>94</v>
      </c>
      <c r="C25" s="143" t="s">
        <v>0</v>
      </c>
      <c r="D25" s="143" t="str">
        <f>"Costs ("&amp;B28&amp;" €)"</f>
        <v>Costs (2012 €)</v>
      </c>
      <c r="E25" s="143" t="s">
        <v>67</v>
      </c>
      <c r="F25" s="143" t="s">
        <v>1</v>
      </c>
      <c r="G25" s="144" t="s">
        <v>2</v>
      </c>
    </row>
    <row r="26" spans="2:7">
      <c r="B26" s="78" t="s">
        <v>3</v>
      </c>
      <c r="C26" s="79"/>
      <c r="D26" s="81">
        <f>SUM(D29:D68)</f>
        <v>884609617.22685444</v>
      </c>
      <c r="E26" s="81">
        <f t="shared" ref="E26:G26" si="0">SUM(E29:E68)</f>
        <v>523746866.46108979</v>
      </c>
      <c r="F26" s="104">
        <f t="shared" si="0"/>
        <v>2960000</v>
      </c>
      <c r="G26" s="105">
        <f t="shared" si="0"/>
        <v>1726875.4685803503</v>
      </c>
    </row>
    <row r="27" spans="2:7">
      <c r="B27" s="83"/>
      <c r="C27" s="84"/>
      <c r="D27" s="84"/>
      <c r="E27" s="84"/>
      <c r="F27" s="84"/>
      <c r="G27" s="85"/>
    </row>
    <row r="28" spans="2:7">
      <c r="B28" s="86">
        <f>'Input Information'!G18</f>
        <v>2012</v>
      </c>
      <c r="C28" s="87">
        <v>0</v>
      </c>
      <c r="D28" s="88"/>
      <c r="E28" s="88"/>
      <c r="F28" s="87"/>
      <c r="G28" s="96"/>
    </row>
    <row r="29" spans="2:7">
      <c r="B29" s="86">
        <f t="shared" ref="B29:C44" si="1">B28+1</f>
        <v>2013</v>
      </c>
      <c r="C29" s="87">
        <f t="shared" si="1"/>
        <v>1</v>
      </c>
      <c r="D29" s="90">
        <f>'A-Capital'!E64+'B-Overhead'!D34+'C-Operational'!D39+'D-Decommissioning'!E28+'E-99Mo Specific'!E47</f>
        <v>23947742.461364221</v>
      </c>
      <c r="E29" s="88">
        <f>D29/((1+$E$13)^(C29))</f>
        <v>23263521.248182382</v>
      </c>
      <c r="F29" s="87">
        <f>$E$14*$E$15</f>
        <v>74000</v>
      </c>
      <c r="G29" s="106">
        <f t="shared" ref="G29:G68" si="2">F29/((1+$E$13)^C29)</f>
        <v>71885.714285714275</v>
      </c>
    </row>
    <row r="30" spans="2:7">
      <c r="B30" s="86">
        <f t="shared" si="1"/>
        <v>2014</v>
      </c>
      <c r="C30" s="87">
        <f t="shared" si="1"/>
        <v>2</v>
      </c>
      <c r="D30" s="90">
        <f>'A-Capital'!E65+'B-Overhead'!D35+'C-Operational'!D40+'D-Decommissioning'!E29+'E-99Mo Specific'!E48</f>
        <v>23797563.346336231</v>
      </c>
      <c r="E30" s="88">
        <f t="shared" ref="E30:E68" si="3">D30/((1+$E$13)^(C30))</f>
        <v>22457129.166011982</v>
      </c>
      <c r="F30" s="87">
        <f t="shared" ref="F30:F68" si="4">$E$14*$E$15</f>
        <v>74000</v>
      </c>
      <c r="G30" s="106">
        <f t="shared" si="2"/>
        <v>69831.836734693861</v>
      </c>
    </row>
    <row r="31" spans="2:7">
      <c r="B31" s="86">
        <f t="shared" si="1"/>
        <v>2015</v>
      </c>
      <c r="C31" s="87">
        <f t="shared" si="1"/>
        <v>3</v>
      </c>
      <c r="D31" s="90">
        <f>'A-Capital'!E66+'B-Overhead'!D36+'C-Operational'!D41+'D-Decommissioning'!E30+'E-99Mo Specific'!E49</f>
        <v>23650328.919838201</v>
      </c>
      <c r="E31" s="88">
        <f t="shared" si="3"/>
        <v>21680525.431261119</v>
      </c>
      <c r="F31" s="87">
        <f t="shared" si="4"/>
        <v>74000</v>
      </c>
      <c r="G31" s="106">
        <f t="shared" si="2"/>
        <v>67836.641399416898</v>
      </c>
    </row>
    <row r="32" spans="2:7">
      <c r="B32" s="86">
        <f t="shared" si="1"/>
        <v>2016</v>
      </c>
      <c r="C32" s="87">
        <f t="shared" si="1"/>
        <v>4</v>
      </c>
      <c r="D32" s="90">
        <f>'A-Capital'!E67+'B-Overhead'!D37+'C-Operational'!D42+'D-Decommissioning'!E31+'E-99Mo Specific'!E50</f>
        <v>23505981.442879349</v>
      </c>
      <c r="E32" s="88">
        <f t="shared" si="3"/>
        <v>20932537.587639555</v>
      </c>
      <c r="F32" s="87">
        <f t="shared" si="4"/>
        <v>74000</v>
      </c>
      <c r="G32" s="106">
        <f t="shared" si="2"/>
        <v>65898.451645147827</v>
      </c>
    </row>
    <row r="33" spans="2:7">
      <c r="B33" s="86">
        <f t="shared" si="1"/>
        <v>2017</v>
      </c>
      <c r="C33" s="87">
        <f t="shared" si="1"/>
        <v>5</v>
      </c>
      <c r="D33" s="90">
        <f>'A-Capital'!E68+'B-Overhead'!D38+'C-Operational'!D43+'D-Decommissioning'!E32+'E-99Mo Specific'!E51</f>
        <v>23364464.308605962</v>
      </c>
      <c r="E33" s="88">
        <f t="shared" si="3"/>
        <v>20212041.980496284</v>
      </c>
      <c r="F33" s="87">
        <f t="shared" si="4"/>
        <v>74000</v>
      </c>
      <c r="G33" s="106">
        <f t="shared" si="2"/>
        <v>64015.638741000745</v>
      </c>
    </row>
    <row r="34" spans="2:7">
      <c r="B34" s="86">
        <f t="shared" si="1"/>
        <v>2018</v>
      </c>
      <c r="C34" s="87">
        <f t="shared" si="1"/>
        <v>6</v>
      </c>
      <c r="D34" s="90">
        <f>'A-Capital'!E69+'B-Overhead'!D39+'C-Operational'!D44+'D-Decommissioning'!E33+'E-99Mo Specific'!E52</f>
        <v>23225722.020102642</v>
      </c>
      <c r="E34" s="88">
        <f t="shared" si="3"/>
        <v>19517961.633778024</v>
      </c>
      <c r="F34" s="87">
        <f t="shared" si="4"/>
        <v>74000</v>
      </c>
      <c r="G34" s="106">
        <f t="shared" si="2"/>
        <v>62186.620491257861</v>
      </c>
    </row>
    <row r="35" spans="2:7">
      <c r="B35" s="86">
        <f t="shared" si="1"/>
        <v>2019</v>
      </c>
      <c r="C35" s="87">
        <f t="shared" si="1"/>
        <v>7</v>
      </c>
      <c r="D35" s="90">
        <f>'A-Capital'!E70+'B-Overhead'!D40+'C-Operational'!D45+'D-Decommissioning'!E34+'E-99Mo Specific'!E53</f>
        <v>23089700.168628804</v>
      </c>
      <c r="E35" s="88">
        <f t="shared" si="3"/>
        <v>18849264.222346473</v>
      </c>
      <c r="F35" s="87">
        <f t="shared" si="4"/>
        <v>74000</v>
      </c>
      <c r="G35" s="106">
        <f t="shared" si="2"/>
        <v>60409.859905793346</v>
      </c>
    </row>
    <row r="36" spans="2:7">
      <c r="B36" s="86">
        <f t="shared" si="1"/>
        <v>2020</v>
      </c>
      <c r="C36" s="87">
        <f t="shared" si="1"/>
        <v>8</v>
      </c>
      <c r="D36" s="90">
        <f>'A-Capital'!E71+'B-Overhead'!D41+'C-Operational'!D46+'D-Decommissioning'!E35+'E-99Mo Specific'!E54</f>
        <v>22956345.412281897</v>
      </c>
      <c r="E36" s="88">
        <f t="shared" si="3"/>
        <v>18204960.13527735</v>
      </c>
      <c r="F36" s="87">
        <f t="shared" si="4"/>
        <v>74000</v>
      </c>
      <c r="G36" s="106">
        <f t="shared" si="2"/>
        <v>58683.863908484956</v>
      </c>
    </row>
    <row r="37" spans="2:7">
      <c r="B37" s="86">
        <f t="shared" si="1"/>
        <v>2021</v>
      </c>
      <c r="C37" s="87">
        <f t="shared" si="1"/>
        <v>9</v>
      </c>
      <c r="D37" s="90">
        <f>'A-Capital'!E72+'B-Overhead'!D42+'C-Operational'!D47+'D-Decommissioning'!E36+'E-99Mo Specific'!E55</f>
        <v>22825605.455079053</v>
      </c>
      <c r="E37" s="88">
        <f t="shared" si="3"/>
        <v>17584100.625968128</v>
      </c>
      <c r="F37" s="87">
        <f t="shared" si="4"/>
        <v>74000</v>
      </c>
      <c r="G37" s="106">
        <f t="shared" si="2"/>
        <v>57007.182082528241</v>
      </c>
    </row>
    <row r="38" spans="2:7">
      <c r="B38" s="86">
        <f t="shared" si="1"/>
        <v>2022</v>
      </c>
      <c r="C38" s="87">
        <f t="shared" si="1"/>
        <v>10</v>
      </c>
      <c r="D38" s="90">
        <f>'A-Capital'!E73+'B-Overhead'!D43+'C-Operational'!D48+'D-Decommissioning'!E37+'E-99Mo Specific'!E56</f>
        <v>22697429.026448809</v>
      </c>
      <c r="E38" s="88">
        <f t="shared" si="3"/>
        <v>16985776.045075282</v>
      </c>
      <c r="F38" s="87">
        <f t="shared" si="4"/>
        <v>74000</v>
      </c>
      <c r="G38" s="106">
        <f t="shared" si="2"/>
        <v>55378.405451598854</v>
      </c>
    </row>
    <row r="39" spans="2:7">
      <c r="B39" s="86">
        <f t="shared" si="1"/>
        <v>2023</v>
      </c>
      <c r="C39" s="87">
        <f t="shared" si="1"/>
        <v>11</v>
      </c>
      <c r="D39" s="90">
        <f>'A-Capital'!E74+'B-Overhead'!D44+'C-Operational'!D49+'D-Decommissioning'!E38+'E-99Mo Specific'!E57</f>
        <v>23275946.987499714</v>
      </c>
      <c r="E39" s="88">
        <f t="shared" si="3"/>
        <v>16921036.372388076</v>
      </c>
      <c r="F39" s="87">
        <f t="shared" si="4"/>
        <v>74000</v>
      </c>
      <c r="G39" s="106">
        <f t="shared" si="2"/>
        <v>53796.16529583888</v>
      </c>
    </row>
    <row r="40" spans="2:7">
      <c r="B40" s="86">
        <f t="shared" si="1"/>
        <v>2024</v>
      </c>
      <c r="C40" s="87">
        <f t="shared" si="1"/>
        <v>12</v>
      </c>
      <c r="D40" s="90">
        <f>'A-Capital'!E75+'B-Overhead'!D45+'C-Operational'!D50+'D-Decommissioning'!E39+'E-99Mo Specific'!E58</f>
        <v>23138940.332743578</v>
      </c>
      <c r="E40" s="88">
        <f t="shared" si="3"/>
        <v>16340823.47604946</v>
      </c>
      <c r="F40" s="87">
        <f t="shared" si="4"/>
        <v>74000</v>
      </c>
      <c r="G40" s="106">
        <f t="shared" si="2"/>
        <v>52259.132001672049</v>
      </c>
    </row>
    <row r="41" spans="2:7">
      <c r="B41" s="86">
        <f t="shared" si="1"/>
        <v>2025</v>
      </c>
      <c r="C41" s="87">
        <f t="shared" si="1"/>
        <v>13</v>
      </c>
      <c r="D41" s="90">
        <f>'A-Capital'!E76+'B-Overhead'!D46+'C-Operational'!D51+'D-Decommissioning'!E40+'E-99Mo Specific'!E59</f>
        <v>23004620.082982659</v>
      </c>
      <c r="E41" s="88">
        <f t="shared" si="3"/>
        <v>15781795.458381012</v>
      </c>
      <c r="F41" s="87">
        <f t="shared" si="4"/>
        <v>74000</v>
      </c>
      <c r="G41" s="106">
        <f t="shared" si="2"/>
        <v>50766.013944481412</v>
      </c>
    </row>
    <row r="42" spans="2:7">
      <c r="B42" s="86">
        <f t="shared" si="1"/>
        <v>2026</v>
      </c>
      <c r="C42" s="87">
        <f t="shared" si="1"/>
        <v>14</v>
      </c>
      <c r="D42" s="90">
        <f>'A-Capital'!E77+'B-Overhead'!D47+'C-Operational'!D52+'D-Decommissioning'!E41+'E-99Mo Specific'!E60</f>
        <v>22872933.563609205</v>
      </c>
      <c r="E42" s="88">
        <f t="shared" si="3"/>
        <v>15243127.638689954</v>
      </c>
      <c r="F42" s="87">
        <f t="shared" si="4"/>
        <v>74000</v>
      </c>
      <c r="G42" s="106">
        <f t="shared" si="2"/>
        <v>49315.556403210518</v>
      </c>
    </row>
    <row r="43" spans="2:7">
      <c r="B43" s="86">
        <f t="shared" si="1"/>
        <v>2027</v>
      </c>
      <c r="C43" s="87">
        <f t="shared" si="1"/>
        <v>15</v>
      </c>
      <c r="D43" s="90">
        <f>'A-Capital'!E78+'B-Overhead'!D48+'C-Operational'!D53+'D-Decommissioning'!E42+'E-99Mo Specific'!E61</f>
        <v>22743829.132850923</v>
      </c>
      <c r="E43" s="88">
        <f t="shared" si="3"/>
        <v>14724029.346134027</v>
      </c>
      <c r="F43" s="87">
        <f t="shared" si="4"/>
        <v>74000</v>
      </c>
      <c r="G43" s="106">
        <f t="shared" si="2"/>
        <v>47906.540505975929</v>
      </c>
    </row>
    <row r="44" spans="2:7">
      <c r="B44" s="86">
        <f t="shared" si="1"/>
        <v>2028</v>
      </c>
      <c r="C44" s="87">
        <f t="shared" si="1"/>
        <v>16</v>
      </c>
      <c r="D44" s="90">
        <f>'A-Capital'!E79+'B-Overhead'!D49+'C-Operational'!D54+'D-Decommissioning'!E43+'E-99Mo Specific'!E62</f>
        <v>22617256.161519274</v>
      </c>
      <c r="E44" s="88">
        <f t="shared" si="3"/>
        <v>14223742.450509315</v>
      </c>
      <c r="F44" s="87">
        <f t="shared" si="4"/>
        <v>74000</v>
      </c>
      <c r="G44" s="106">
        <f t="shared" si="2"/>
        <v>46537.782205805182</v>
      </c>
    </row>
    <row r="45" spans="2:7">
      <c r="B45" s="86">
        <f t="shared" ref="B45:C60" si="5">B44+1</f>
        <v>2029</v>
      </c>
      <c r="C45" s="87">
        <f t="shared" si="5"/>
        <v>17</v>
      </c>
      <c r="D45" s="90">
        <f>'A-Capital'!E80+'B-Overhead'!D50+'C-Operational'!D55+'D-Decommissioning'!E44+'E-99Mo Specific'!E63</f>
        <v>22493165.013154909</v>
      </c>
      <c r="E45" s="88">
        <f t="shared" si="3"/>
        <v>13741539.958706163</v>
      </c>
      <c r="F45" s="87">
        <f t="shared" si="4"/>
        <v>74000</v>
      </c>
      <c r="G45" s="106">
        <f t="shared" si="2"/>
        <v>45208.131285639312</v>
      </c>
    </row>
    <row r="46" spans="2:7">
      <c r="B46" s="86">
        <f t="shared" si="5"/>
        <v>2030</v>
      </c>
      <c r="C46" s="87">
        <f t="shared" si="5"/>
        <v>18</v>
      </c>
      <c r="D46" s="90">
        <f>'A-Capital'!E81+'B-Overhead'!D51+'C-Operational'!D56+'D-Decommissioning'!E45+'E-99Mo Specific'!E64</f>
        <v>22371507.024562392</v>
      </c>
      <c r="E46" s="88">
        <f t="shared" si="3"/>
        <v>13276724.673828816</v>
      </c>
      <c r="F46" s="87">
        <f t="shared" si="4"/>
        <v>74000</v>
      </c>
      <c r="G46" s="106">
        <f t="shared" si="2"/>
        <v>43916.470391763905</v>
      </c>
    </row>
    <row r="47" spans="2:7">
      <c r="B47" s="86">
        <f t="shared" si="5"/>
        <v>2031</v>
      </c>
      <c r="C47" s="87">
        <f t="shared" si="5"/>
        <v>19</v>
      </c>
      <c r="D47" s="90">
        <f>'A-Capital'!E82+'B-Overhead'!D52+'C-Operational'!D57+'D-Decommissioning'!E46+'E-99Mo Specific'!E65</f>
        <v>22252234.486726597</v>
      </c>
      <c r="E47" s="88">
        <f t="shared" si="3"/>
        <v>12828627.914113957</v>
      </c>
      <c r="F47" s="87">
        <f t="shared" si="4"/>
        <v>74000</v>
      </c>
      <c r="G47" s="106">
        <f t="shared" si="2"/>
        <v>42661.714094856361</v>
      </c>
    </row>
    <row r="48" spans="2:7">
      <c r="B48" s="86">
        <f t="shared" si="5"/>
        <v>2032</v>
      </c>
      <c r="C48" s="87">
        <f t="shared" si="5"/>
        <v>20</v>
      </c>
      <c r="D48" s="90">
        <f>'A-Capital'!E83+'B-Overhead'!D53+'C-Operational'!D58+'D-Decommissioning'!E47+'E-99Mo Specific'!E66</f>
        <v>22135300.626103267</v>
      </c>
      <c r="E48" s="88">
        <f t="shared" si="3"/>
        <v>12396608.288916379</v>
      </c>
      <c r="F48" s="87">
        <f t="shared" si="4"/>
        <v>74000</v>
      </c>
      <c r="G48" s="106">
        <f t="shared" si="2"/>
        <v>41442.807977860459</v>
      </c>
    </row>
    <row r="49" spans="2:7">
      <c r="B49" s="86">
        <f t="shared" si="5"/>
        <v>2033</v>
      </c>
      <c r="C49" s="87">
        <f t="shared" si="5"/>
        <v>21</v>
      </c>
      <c r="D49" s="90">
        <f>'A-Capital'!E84+'B-Overhead'!D54+'C-Operational'!D59+'D-Decommissioning'!E48+'E-99Mo Specific'!E67</f>
        <v>22147166.922825508</v>
      </c>
      <c r="E49" s="88">
        <f t="shared" si="3"/>
        <v>12048875.183487847</v>
      </c>
      <c r="F49" s="87">
        <f t="shared" si="4"/>
        <v>74000</v>
      </c>
      <c r="G49" s="106">
        <f t="shared" si="2"/>
        <v>40258.727749921585</v>
      </c>
    </row>
    <row r="50" spans="2:7">
      <c r="B50" s="86">
        <f t="shared" si="5"/>
        <v>2034</v>
      </c>
      <c r="C50" s="87">
        <f t="shared" si="5"/>
        <v>22</v>
      </c>
      <c r="D50" s="90">
        <f>'A-Capital'!E85+'B-Overhead'!D55+'C-Operational'!D60+'D-Decommissioning'!E49+'E-99Mo Specific'!E68</f>
        <v>22032293.210513961</v>
      </c>
      <c r="E50" s="88">
        <f t="shared" si="3"/>
        <v>11643911.659586845</v>
      </c>
      <c r="F50" s="87">
        <f t="shared" si="4"/>
        <v>74000</v>
      </c>
      <c r="G50" s="106">
        <f t="shared" si="2"/>
        <v>39108.478385638111</v>
      </c>
    </row>
    <row r="51" spans="2:7">
      <c r="B51" s="86">
        <f t="shared" si="5"/>
        <v>2035</v>
      </c>
      <c r="C51" s="87">
        <f t="shared" si="5"/>
        <v>23</v>
      </c>
      <c r="D51" s="90">
        <f>'A-Capital'!E86+'B-Overhead'!D56+'C-Operational'!D61+'D-Decommissioning'!E50+'E-99Mo Specific'!E69</f>
        <v>21919671.923934016</v>
      </c>
      <c r="E51" s="88">
        <f t="shared" si="3"/>
        <v>11253409.471951107</v>
      </c>
      <c r="F51" s="87">
        <f t="shared" si="4"/>
        <v>74000</v>
      </c>
      <c r="G51" s="106">
        <f t="shared" si="2"/>
        <v>37991.093288905591</v>
      </c>
    </row>
    <row r="52" spans="2:7">
      <c r="B52" s="86">
        <f t="shared" si="5"/>
        <v>2036</v>
      </c>
      <c r="C52" s="87">
        <f t="shared" si="5"/>
        <v>24</v>
      </c>
      <c r="D52" s="90">
        <f>'A-Capital'!E87+'B-Overhead'!D57+'C-Operational'!D62+'D-Decommissioning'!E51+'E-99Mo Specific'!E70</f>
        <v>21809258.897875249</v>
      </c>
      <c r="E52" s="88">
        <f t="shared" si="3"/>
        <v>10876817.775265047</v>
      </c>
      <c r="F52" s="87">
        <f t="shared" si="4"/>
        <v>74000</v>
      </c>
      <c r="G52" s="106">
        <f t="shared" si="2"/>
        <v>36905.633480651137</v>
      </c>
    </row>
    <row r="53" spans="2:7">
      <c r="B53" s="86">
        <f t="shared" si="5"/>
        <v>2037</v>
      </c>
      <c r="C53" s="87">
        <f t="shared" si="5"/>
        <v>25</v>
      </c>
      <c r="D53" s="90">
        <f>'A-Capital'!E88+'B-Overhead'!D58+'C-Operational'!D63+'D-Decommissioning'!E52+'E-99Mo Specific'!E71</f>
        <v>21701010.833111748</v>
      </c>
      <c r="E53" s="88">
        <f t="shared" si="3"/>
        <v>10513608.018092548</v>
      </c>
      <c r="F53" s="87">
        <f t="shared" si="4"/>
        <v>74000</v>
      </c>
      <c r="G53" s="106">
        <f t="shared" si="2"/>
        <v>35851.186809775383</v>
      </c>
    </row>
    <row r="54" spans="2:7">
      <c r="B54" s="86">
        <f t="shared" si="5"/>
        <v>2038</v>
      </c>
      <c r="C54" s="87">
        <f t="shared" si="5"/>
        <v>26</v>
      </c>
      <c r="D54" s="90">
        <f>'A-Capital'!E89+'B-Overhead'!D59+'C-Operational'!D64+'D-Decommissioning'!E53+'E-99Mo Specific'!E72</f>
        <v>21594885.279422037</v>
      </c>
      <c r="E54" s="88">
        <f t="shared" si="3"/>
        <v>10163272.993745077</v>
      </c>
      <c r="F54" s="87">
        <f t="shared" si="4"/>
        <v>74000</v>
      </c>
      <c r="G54" s="106">
        <f t="shared" si="2"/>
        <v>34826.867186638941</v>
      </c>
    </row>
    <row r="55" spans="2:7">
      <c r="B55" s="86">
        <f t="shared" si="5"/>
        <v>2039</v>
      </c>
      <c r="C55" s="87">
        <f t="shared" si="5"/>
        <v>27</v>
      </c>
      <c r="D55" s="90">
        <f>'A-Capital'!E90+'B-Overhead'!D60+'C-Operational'!D65+'D-Decommissioning'!E54+'E-99Mo Specific'!E73</f>
        <v>21490840.618941937</v>
      </c>
      <c r="E55" s="88">
        <f t="shared" si="3"/>
        <v>9825325.9331328012</v>
      </c>
      <c r="F55" s="87">
        <f t="shared" si="4"/>
        <v>74000</v>
      </c>
      <c r="G55" s="106">
        <f t="shared" si="2"/>
        <v>33831.813838449256</v>
      </c>
    </row>
    <row r="56" spans="2:7">
      <c r="B56" s="86">
        <f t="shared" si="5"/>
        <v>2040</v>
      </c>
      <c r="C56" s="87">
        <f t="shared" si="5"/>
        <v>28</v>
      </c>
      <c r="D56" s="90">
        <f>'A-Capital'!E91+'B-Overhead'!D61+'C-Operational'!D66+'D-Decommissioning'!E55+'E-99Mo Specific'!E74</f>
        <v>21388836.049843796</v>
      </c>
      <c r="E56" s="88">
        <f t="shared" si="3"/>
        <v>9499299.6376913283</v>
      </c>
      <c r="F56" s="87">
        <f t="shared" si="4"/>
        <v>74000</v>
      </c>
      <c r="G56" s="106">
        <f t="shared" si="2"/>
        <v>32865.19058592213</v>
      </c>
    </row>
    <row r="57" spans="2:7">
      <c r="B57" s="86">
        <f t="shared" si="5"/>
        <v>2041</v>
      </c>
      <c r="C57" s="87">
        <f t="shared" si="5"/>
        <v>29</v>
      </c>
      <c r="D57" s="90">
        <f>'A-Capital'!E92+'B-Overhead'!D62+'C-Operational'!D67+'D-Decommissioning'!E56+'E-99Mo Specific'!E75</f>
        <v>21288831.570335813</v>
      </c>
      <c r="E57" s="88">
        <f t="shared" si="3"/>
        <v>9184745.6505649425</v>
      </c>
      <c r="F57" s="87">
        <f t="shared" si="4"/>
        <v>74000</v>
      </c>
      <c r="G57" s="106">
        <f t="shared" si="2"/>
        <v>31926.185140610069</v>
      </c>
    </row>
    <row r="58" spans="2:7">
      <c r="B58" s="86">
        <f t="shared" si="5"/>
        <v>2042</v>
      </c>
      <c r="C58" s="87">
        <f t="shared" si="5"/>
        <v>30</v>
      </c>
      <c r="D58" s="90">
        <f>'A-Capital'!E93+'B-Overhead'!D63+'C-Operational'!D68+'D-Decommissioning'!E57+'E-99Mo Specific'!E76</f>
        <v>21190787.962975044</v>
      </c>
      <c r="E58" s="88">
        <f t="shared" si="3"/>
        <v>8881233.4643111918</v>
      </c>
      <c r="F58" s="87">
        <f t="shared" si="4"/>
        <v>74000</v>
      </c>
      <c r="G58" s="106">
        <f t="shared" si="2"/>
        <v>31014.008422306921</v>
      </c>
    </row>
    <row r="59" spans="2:7">
      <c r="B59" s="86">
        <f t="shared" si="5"/>
        <v>2043</v>
      </c>
      <c r="C59" s="87">
        <f t="shared" si="5"/>
        <v>31</v>
      </c>
      <c r="D59" s="90">
        <f>'A-Capital'!E94+'B-Overhead'!D64+'C-Operational'!D69+'D-Decommissioning'!E58+'E-99Mo Specific'!E77</f>
        <v>21221174.115837056</v>
      </c>
      <c r="E59" s="88">
        <f t="shared" si="3"/>
        <v>8639855.1636423208</v>
      </c>
      <c r="F59" s="87">
        <f t="shared" si="4"/>
        <v>74000</v>
      </c>
      <c r="G59" s="106">
        <f t="shared" si="2"/>
        <v>30127.893895955294</v>
      </c>
    </row>
    <row r="60" spans="2:7">
      <c r="B60" s="86">
        <f t="shared" si="5"/>
        <v>2044</v>
      </c>
      <c r="C60" s="87">
        <f t="shared" si="5"/>
        <v>32</v>
      </c>
      <c r="D60" s="90">
        <f>'A-Capital'!E95+'B-Overhead'!D65+'C-Operational'!D70+'D-Decommissioning'!E59+'E-99Mo Specific'!E78</f>
        <v>21124457.125231165</v>
      </c>
      <c r="E60" s="88">
        <f t="shared" si="3"/>
        <v>8354750.4624992758</v>
      </c>
      <c r="F60" s="87">
        <f t="shared" si="4"/>
        <v>74000</v>
      </c>
      <c r="G60" s="106">
        <f t="shared" si="2"/>
        <v>29267.096927499424</v>
      </c>
    </row>
    <row r="61" spans="2:7">
      <c r="B61" s="86">
        <f t="shared" ref="B61:C68" si="6">B60+1</f>
        <v>2045</v>
      </c>
      <c r="C61" s="87">
        <f t="shared" si="6"/>
        <v>33</v>
      </c>
      <c r="D61" s="90">
        <f>'A-Capital'!E96+'B-Overhead'!D66+'C-Operational'!D71+'D-Decommissioning'!E60+'E-99Mo Specific'!E79</f>
        <v>21029636.546205785</v>
      </c>
      <c r="E61" s="88">
        <f t="shared" si="3"/>
        <v>8079613.1193159157</v>
      </c>
      <c r="F61" s="87">
        <f t="shared" si="4"/>
        <v>74000</v>
      </c>
      <c r="G61" s="106">
        <f t="shared" si="2"/>
        <v>28430.894158142295</v>
      </c>
    </row>
    <row r="62" spans="2:7">
      <c r="B62" s="86">
        <f t="shared" si="6"/>
        <v>2046</v>
      </c>
      <c r="C62" s="87">
        <f t="shared" si="6"/>
        <v>34</v>
      </c>
      <c r="D62" s="90">
        <f>'A-Capital'!E97+'B-Overhead'!D67+'C-Operational'!D72+'D-Decommissioning'!E61+'E-99Mo Specific'!E80</f>
        <v>20936675.194220114</v>
      </c>
      <c r="E62" s="88">
        <f t="shared" si="3"/>
        <v>7814071.6138955066</v>
      </c>
      <c r="F62" s="87">
        <f t="shared" si="4"/>
        <v>74000</v>
      </c>
      <c r="G62" s="106">
        <f t="shared" si="2"/>
        <v>27618.582896481086</v>
      </c>
    </row>
    <row r="63" spans="2:7">
      <c r="B63" s="86">
        <f t="shared" si="6"/>
        <v>2047</v>
      </c>
      <c r="C63" s="87">
        <f t="shared" si="6"/>
        <v>35</v>
      </c>
      <c r="D63" s="90">
        <f>'A-Capital'!E98+'B-Overhead'!D68+'C-Operational'!D73+'D-Decommissioning'!E62+'E-99Mo Specific'!E81</f>
        <v>20845536.61384201</v>
      </c>
      <c r="E63" s="88">
        <f t="shared" si="3"/>
        <v>7557769.1713107815</v>
      </c>
      <c r="F63" s="87">
        <f t="shared" si="4"/>
        <v>74000</v>
      </c>
      <c r="G63" s="106">
        <f t="shared" si="2"/>
        <v>26829.480528010194</v>
      </c>
    </row>
    <row r="64" spans="2:7">
      <c r="B64" s="86">
        <f t="shared" si="6"/>
        <v>2048</v>
      </c>
      <c r="C64" s="87">
        <f t="shared" si="6"/>
        <v>36</v>
      </c>
      <c r="D64" s="90">
        <f>'A-Capital'!E99+'B-Overhead'!D69+'C-Operational'!D74+'D-Decommissioning'!E63+'E-99Mo Specific'!E82</f>
        <v>20756185.064451709</v>
      </c>
      <c r="E64" s="88">
        <f t="shared" si="3"/>
        <v>7310363.1439244887</v>
      </c>
      <c r="F64" s="87">
        <f t="shared" si="4"/>
        <v>74000</v>
      </c>
      <c r="G64" s="106">
        <f t="shared" si="2"/>
        <v>26062.923941495614</v>
      </c>
    </row>
    <row r="65" spans="2:7">
      <c r="B65" s="86">
        <f t="shared" si="6"/>
        <v>2049</v>
      </c>
      <c r="C65" s="87">
        <f t="shared" si="6"/>
        <v>37</v>
      </c>
      <c r="D65" s="90">
        <f>'A-Capital'!E100+'B-Overhead'!D70+'C-Operational'!D75+'D-Decommissioning'!E64+'E-99Mo Specific'!E83</f>
        <v>20668585.506225925</v>
      </c>
      <c r="E65" s="88">
        <f t="shared" si="3"/>
        <v>7071524.4204325126</v>
      </c>
      <c r="F65" s="87">
        <f t="shared" si="4"/>
        <v>74000</v>
      </c>
      <c r="G65" s="106">
        <f t="shared" si="2"/>
        <v>25318.268971738598</v>
      </c>
    </row>
    <row r="66" spans="2:7">
      <c r="B66" s="86">
        <f t="shared" si="6"/>
        <v>2050</v>
      </c>
      <c r="C66" s="87">
        <f t="shared" si="6"/>
        <v>38</v>
      </c>
      <c r="D66" s="90">
        <f>'A-Capital'!E101+'B-Overhead'!D71+'C-Operational'!D76+'D-Decommissioning'!E65+'E-99Mo Specific'!E84</f>
        <v>20582703.586396724</v>
      </c>
      <c r="E66" s="88">
        <f t="shared" si="3"/>
        <v>6840936.8607114553</v>
      </c>
      <c r="F66" s="87">
        <f t="shared" si="4"/>
        <v>74000</v>
      </c>
      <c r="G66" s="106">
        <f t="shared" si="2"/>
        <v>24594.889858260351</v>
      </c>
    </row>
    <row r="67" spans="2:7">
      <c r="B67" s="86">
        <f t="shared" si="6"/>
        <v>2051</v>
      </c>
      <c r="C67" s="87">
        <f t="shared" si="6"/>
        <v>39</v>
      </c>
      <c r="D67" s="90">
        <f>'A-Capital'!E102+'B-Overhead'!D72+'C-Operational'!D77+'D-Decommissioning'!E66+'E-99Mo Specific'!E85</f>
        <v>20498505.625779863</v>
      </c>
      <c r="E67" s="88">
        <f t="shared" si="3"/>
        <v>6618296.7553086942</v>
      </c>
      <c r="F67" s="87">
        <f t="shared" si="4"/>
        <v>74000</v>
      </c>
      <c r="G67" s="106">
        <f t="shared" si="2"/>
        <v>23892.178719452906</v>
      </c>
    </row>
    <row r="68" spans="2:7" ht="15.75" thickBot="1">
      <c r="B68" s="51">
        <f t="shared" si="6"/>
        <v>2052</v>
      </c>
      <c r="C68" s="92">
        <f t="shared" si="6"/>
        <v>40</v>
      </c>
      <c r="D68" s="93">
        <f>'A-Capital'!E103+'B-Overhead'!D73+'C-Operational'!D78+'D-Decommissioning'!E67+'E-99Mo Specific'!E86</f>
        <v>20415958.60556725</v>
      </c>
      <c r="E68" s="94">
        <f t="shared" si="3"/>
        <v>6403312.3084662622</v>
      </c>
      <c r="F68" s="92">
        <f t="shared" si="4"/>
        <v>74000</v>
      </c>
      <c r="G68" s="107">
        <f t="shared" si="2"/>
        <v>23209.545041754249</v>
      </c>
    </row>
  </sheetData>
  <sheetProtection password="C907" sheet="1" objects="1" scenarios="1"/>
  <mergeCells count="7">
    <mergeCell ref="B24:G24"/>
    <mergeCell ref="B19:C19"/>
    <mergeCell ref="B8:D8"/>
    <mergeCell ref="B3:G6"/>
    <mergeCell ref="B21:C21"/>
    <mergeCell ref="B18:D18"/>
    <mergeCell ref="B22:D22"/>
  </mergeCells>
  <pageMargins left="0.70866141732283472" right="0.70866141732283472" top="0.74803149606299213" bottom="0.74803149606299213" header="0.31496062992125984" footer="0.31496062992125984"/>
  <pageSetup paperSize="9" scale="77" fitToHeight="2" orientation="portrait" r:id="rId1"/>
</worksheet>
</file>

<file path=xl/worksheets/sheet3.xml><?xml version="1.0" encoding="utf-8"?>
<worksheet xmlns="http://schemas.openxmlformats.org/spreadsheetml/2006/main" xmlns:r="http://schemas.openxmlformats.org/officeDocument/2006/relationships">
  <dimension ref="A1:K103"/>
  <sheetViews>
    <sheetView topLeftCell="A22" zoomScaleNormal="100" workbookViewId="0">
      <selection activeCell="D34" sqref="D34"/>
    </sheetView>
  </sheetViews>
  <sheetFormatPr defaultRowHeight="15"/>
  <cols>
    <col min="1" max="1" width="46.140625" customWidth="1"/>
    <col min="2" max="2" width="12" style="8" customWidth="1"/>
    <col min="3" max="3" width="16.85546875" bestFit="1" customWidth="1"/>
    <col min="4" max="4" width="16" customWidth="1"/>
    <col min="5" max="5" width="18" customWidth="1"/>
    <col min="6" max="6" width="21" customWidth="1"/>
    <col min="7" max="7" width="22" customWidth="1"/>
    <col min="8" max="8" width="19" customWidth="1"/>
    <col min="9" max="9" width="21.5703125" customWidth="1"/>
  </cols>
  <sheetData>
    <row r="1" spans="1:11" ht="18">
      <c r="A1" s="20" t="s">
        <v>225</v>
      </c>
      <c r="E1" s="6" t="s">
        <v>175</v>
      </c>
    </row>
    <row r="2" spans="1:11">
      <c r="A2" s="20"/>
      <c r="B2" s="140"/>
      <c r="E2" s="6"/>
    </row>
    <row r="3" spans="1:11">
      <c r="A3" s="277" t="s">
        <v>270</v>
      </c>
      <c r="B3" s="278"/>
      <c r="C3" s="278"/>
      <c r="D3" s="278"/>
      <c r="E3" s="278"/>
      <c r="F3" s="279"/>
    </row>
    <row r="4" spans="1:11">
      <c r="A4" s="280"/>
      <c r="B4" s="281"/>
      <c r="C4" s="281"/>
      <c r="D4" s="281"/>
      <c r="E4" s="281"/>
      <c r="F4" s="282"/>
    </row>
    <row r="5" spans="1:11">
      <c r="A5" s="283"/>
      <c r="B5" s="284"/>
      <c r="C5" s="284"/>
      <c r="D5" s="284"/>
      <c r="E5" s="284"/>
      <c r="F5" s="285"/>
    </row>
    <row r="7" spans="1:11">
      <c r="A7" s="9" t="s">
        <v>35</v>
      </c>
      <c r="B7" s="9" t="s">
        <v>24</v>
      </c>
      <c r="E7" s="289" t="s">
        <v>22</v>
      </c>
      <c r="F7" s="290"/>
      <c r="G7" s="290"/>
      <c r="H7" s="291"/>
      <c r="I7" s="18"/>
      <c r="J7" s="18"/>
      <c r="K7" s="18"/>
    </row>
    <row r="8" spans="1:11" ht="18" customHeight="1">
      <c r="A8" t="s">
        <v>274</v>
      </c>
      <c r="B8" s="11" t="s">
        <v>25</v>
      </c>
      <c r="C8" s="52">
        <f>'Input Information'!G15</f>
        <v>435000000</v>
      </c>
      <c r="E8" s="262" t="s">
        <v>159</v>
      </c>
      <c r="F8" s="263"/>
      <c r="G8" s="263"/>
      <c r="H8" s="264"/>
      <c r="I8" s="17"/>
      <c r="J8" s="17"/>
      <c r="K8" s="17"/>
    </row>
    <row r="9" spans="1:11" ht="29.25" customHeight="1">
      <c r="A9" s="13" t="s">
        <v>36</v>
      </c>
      <c r="B9" s="11" t="s">
        <v>117</v>
      </c>
      <c r="C9" s="53">
        <f>'Input Information'!G17</f>
        <v>40</v>
      </c>
      <c r="D9" s="13" t="s">
        <v>37</v>
      </c>
      <c r="E9" s="265" t="s">
        <v>232</v>
      </c>
      <c r="F9" s="266"/>
      <c r="G9" s="266"/>
      <c r="H9" s="267"/>
    </row>
    <row r="10" spans="1:11">
      <c r="A10" t="s">
        <v>122</v>
      </c>
      <c r="B10" s="11" t="s">
        <v>118</v>
      </c>
      <c r="C10" s="53">
        <f>'Input Information'!G34</f>
        <v>1</v>
      </c>
    </row>
    <row r="11" spans="1:11">
      <c r="A11" t="s">
        <v>121</v>
      </c>
      <c r="B11" s="11" t="s">
        <v>119</v>
      </c>
      <c r="C11" s="54">
        <f>'Input Information'!F80</f>
        <v>0.05</v>
      </c>
    </row>
    <row r="12" spans="1:11">
      <c r="A12" t="s">
        <v>40</v>
      </c>
      <c r="B12" s="11" t="s">
        <v>120</v>
      </c>
      <c r="C12" s="54">
        <f>'Input Information'!F81</f>
        <v>0.02</v>
      </c>
    </row>
    <row r="13" spans="1:11">
      <c r="A13" t="s">
        <v>39</v>
      </c>
      <c r="B13" s="11"/>
      <c r="C13" s="55">
        <f>'Input Information'!F82</f>
        <v>2.941176470588247E-2</v>
      </c>
    </row>
    <row r="14" spans="1:11" ht="18" customHeight="1">
      <c r="A14" t="s">
        <v>100</v>
      </c>
      <c r="B14" s="11" t="s">
        <v>106</v>
      </c>
      <c r="C14" s="52">
        <f>'Input Information'!G21</f>
        <v>21750000</v>
      </c>
      <c r="E14" s="274" t="s">
        <v>158</v>
      </c>
      <c r="F14" s="275"/>
      <c r="G14" s="275"/>
      <c r="H14" s="276"/>
      <c r="I14" s="17"/>
      <c r="J14" s="17"/>
      <c r="K14" s="17"/>
    </row>
    <row r="15" spans="1:11" ht="15.75" customHeight="1">
      <c r="A15" t="s">
        <v>103</v>
      </c>
      <c r="B15" s="112" t="s">
        <v>172</v>
      </c>
      <c r="C15" s="68">
        <f>'Input Information'!G22</f>
        <v>10</v>
      </c>
      <c r="D15" t="s">
        <v>37</v>
      </c>
      <c r="E15" s="286"/>
      <c r="F15" s="287"/>
      <c r="G15" s="287"/>
      <c r="H15" s="288"/>
      <c r="I15" s="17"/>
      <c r="J15" s="17"/>
      <c r="K15" s="17"/>
    </row>
    <row r="16" spans="1:11" ht="18" customHeight="1">
      <c r="A16" t="s">
        <v>115</v>
      </c>
      <c r="B16" s="11" t="s">
        <v>110</v>
      </c>
      <c r="C16" s="68">
        <f>'Input Information'!G24</f>
        <v>11</v>
      </c>
      <c r="E16" s="286"/>
      <c r="F16" s="287"/>
      <c r="G16" s="287"/>
      <c r="H16" s="288"/>
      <c r="I16" s="17"/>
      <c r="J16" s="17"/>
      <c r="K16" s="17"/>
    </row>
    <row r="17" spans="1:11" ht="18" customHeight="1">
      <c r="A17" t="s">
        <v>101</v>
      </c>
      <c r="B17" s="11" t="s">
        <v>107</v>
      </c>
      <c r="C17" s="69">
        <f>'Input Information'!G26</f>
        <v>21750000</v>
      </c>
      <c r="E17" s="286"/>
      <c r="F17" s="287"/>
      <c r="G17" s="287"/>
      <c r="H17" s="288"/>
      <c r="I17" s="17"/>
      <c r="J17" s="17"/>
      <c r="K17" s="17"/>
    </row>
    <row r="18" spans="1:11" ht="18" customHeight="1">
      <c r="A18" t="s">
        <v>104</v>
      </c>
      <c r="B18" s="112" t="s">
        <v>173</v>
      </c>
      <c r="C18" s="68">
        <f>'Input Information'!G27</f>
        <v>10</v>
      </c>
      <c r="D18" t="s">
        <v>37</v>
      </c>
      <c r="E18" s="286"/>
      <c r="F18" s="287"/>
      <c r="G18" s="287"/>
      <c r="H18" s="288"/>
      <c r="I18" s="17"/>
      <c r="J18" s="17"/>
      <c r="K18" s="17"/>
    </row>
    <row r="19" spans="1:11" ht="18" customHeight="1">
      <c r="A19" t="s">
        <v>114</v>
      </c>
      <c r="B19" s="11" t="s">
        <v>112</v>
      </c>
      <c r="C19" s="68">
        <f>'Input Information'!G29</f>
        <v>21</v>
      </c>
      <c r="E19" s="286"/>
      <c r="F19" s="287"/>
      <c r="G19" s="287"/>
      <c r="H19" s="288"/>
      <c r="I19" s="17"/>
      <c r="J19" s="17"/>
      <c r="K19" s="17"/>
    </row>
    <row r="20" spans="1:11" ht="18" customHeight="1">
      <c r="A20" t="s">
        <v>102</v>
      </c>
      <c r="B20" s="11" t="s">
        <v>108</v>
      </c>
      <c r="C20" s="69">
        <f>'Input Information'!G30</f>
        <v>21750000</v>
      </c>
      <c r="E20" s="286"/>
      <c r="F20" s="287"/>
      <c r="G20" s="287"/>
      <c r="H20" s="288"/>
      <c r="I20" s="17"/>
      <c r="J20" s="17"/>
      <c r="K20" s="17"/>
    </row>
    <row r="21" spans="1:11" ht="18" customHeight="1">
      <c r="A21" t="s">
        <v>105</v>
      </c>
      <c r="B21" s="112" t="s">
        <v>174</v>
      </c>
      <c r="C21" s="68">
        <f>'Input Information'!G31</f>
        <v>10</v>
      </c>
      <c r="D21" t="s">
        <v>37</v>
      </c>
      <c r="E21" s="286"/>
      <c r="F21" s="287"/>
      <c r="G21" s="287"/>
      <c r="H21" s="288"/>
      <c r="I21" s="17"/>
      <c r="J21" s="17"/>
      <c r="K21" s="17"/>
    </row>
    <row r="22" spans="1:11" ht="18">
      <c r="A22" t="s">
        <v>116</v>
      </c>
      <c r="B22" s="11" t="s">
        <v>111</v>
      </c>
      <c r="C22" s="68">
        <f>'Input Information'!G33</f>
        <v>31</v>
      </c>
      <c r="E22" s="265"/>
      <c r="F22" s="266"/>
      <c r="G22" s="266"/>
      <c r="H22" s="267"/>
      <c r="I22" s="13"/>
      <c r="J22" s="13"/>
      <c r="K22" s="13"/>
    </row>
    <row r="23" spans="1:11">
      <c r="B23" s="11"/>
      <c r="E23" s="13"/>
      <c r="F23" s="13"/>
      <c r="G23" s="13"/>
      <c r="H23" s="13"/>
      <c r="I23" s="13"/>
      <c r="J23" s="13"/>
      <c r="K23" s="13"/>
    </row>
    <row r="24" spans="1:11">
      <c r="A24" s="10" t="s">
        <v>23</v>
      </c>
      <c r="B24" s="11"/>
      <c r="E24" s="13"/>
      <c r="F24" s="13"/>
      <c r="G24" s="13"/>
      <c r="H24" s="13"/>
      <c r="I24" s="13"/>
      <c r="J24" s="13"/>
      <c r="K24" s="13"/>
    </row>
    <row r="25" spans="1:11">
      <c r="A25" s="10"/>
      <c r="B25" s="11"/>
      <c r="E25" s="13"/>
      <c r="F25" s="13"/>
      <c r="G25" s="13"/>
      <c r="H25" s="13"/>
      <c r="I25" s="13"/>
      <c r="J25" s="13"/>
      <c r="K25" s="13"/>
    </row>
    <row r="26" spans="1:11">
      <c r="A26" s="14" t="s">
        <v>34</v>
      </c>
      <c r="B26" s="11"/>
      <c r="E26" s="13"/>
      <c r="F26" s="13"/>
      <c r="G26" s="13"/>
      <c r="H26" s="13"/>
      <c r="I26" s="13"/>
      <c r="J26" s="13"/>
      <c r="K26" s="13"/>
    </row>
    <row r="27" spans="1:11" ht="47.25" customHeight="1">
      <c r="A27" s="28" t="s">
        <v>285</v>
      </c>
      <c r="B27" s="12" t="s">
        <v>26</v>
      </c>
      <c r="C27" s="115">
        <v>0.5</v>
      </c>
      <c r="D27" s="4"/>
      <c r="E27" s="262" t="s">
        <v>239</v>
      </c>
      <c r="F27" s="263"/>
      <c r="G27" s="263"/>
      <c r="H27" s="264"/>
      <c r="I27" s="13"/>
      <c r="J27" s="13"/>
      <c r="K27" s="13"/>
    </row>
    <row r="28" spans="1:11" ht="49.5" customHeight="1">
      <c r="A28" s="28" t="s">
        <v>28</v>
      </c>
      <c r="B28" s="12" t="s">
        <v>29</v>
      </c>
      <c r="C28" s="116">
        <v>20000000</v>
      </c>
      <c r="D28" s="4"/>
      <c r="E28" s="262" t="s">
        <v>240</v>
      </c>
      <c r="F28" s="263"/>
      <c r="G28" s="263"/>
      <c r="H28" s="264"/>
      <c r="I28" s="19"/>
      <c r="J28" s="19"/>
      <c r="K28" s="19"/>
    </row>
    <row r="29" spans="1:11" ht="62.25" customHeight="1">
      <c r="A29" s="29" t="s">
        <v>30</v>
      </c>
      <c r="B29" s="12" t="s">
        <v>32</v>
      </c>
      <c r="C29" s="117">
        <v>0.5</v>
      </c>
      <c r="E29" s="262" t="s">
        <v>160</v>
      </c>
      <c r="F29" s="263"/>
      <c r="G29" s="263"/>
      <c r="H29" s="264"/>
      <c r="I29" s="17"/>
      <c r="J29" s="17"/>
      <c r="K29" s="17"/>
    </row>
    <row r="30" spans="1:11" ht="48" customHeight="1">
      <c r="A30" s="29" t="s">
        <v>256</v>
      </c>
      <c r="B30" s="11" t="s">
        <v>33</v>
      </c>
      <c r="C30" s="56">
        <f>((((1+($C$11/$C$10))^($C$9*$C$10))-1)/(($C$11/$C$10)*((1+($C$11/$C$10))^($C$9*$C$10))))</f>
        <v>17.159086353994443</v>
      </c>
      <c r="E30" s="262" t="s">
        <v>154</v>
      </c>
      <c r="F30" s="263"/>
      <c r="G30" s="263"/>
      <c r="H30" s="264"/>
      <c r="I30" s="17"/>
      <c r="J30" s="17"/>
      <c r="K30" s="17"/>
    </row>
    <row r="31" spans="1:11">
      <c r="A31" s="4"/>
      <c r="B31" s="11"/>
      <c r="E31" s="16"/>
      <c r="F31" s="16"/>
      <c r="G31" s="16"/>
      <c r="H31" s="16"/>
      <c r="I31" s="16"/>
      <c r="J31" s="16"/>
      <c r="K31" s="16"/>
    </row>
    <row r="32" spans="1:11">
      <c r="A32" s="15" t="s">
        <v>99</v>
      </c>
      <c r="B32" s="11"/>
    </row>
    <row r="33" spans="1:11">
      <c r="A33" s="76" t="s">
        <v>155</v>
      </c>
      <c r="B33" s="11"/>
      <c r="C33" s="111">
        <f>C16</f>
        <v>11</v>
      </c>
    </row>
    <row r="34" spans="1:11">
      <c r="A34" s="146" t="s">
        <v>275</v>
      </c>
      <c r="B34" s="11"/>
      <c r="C34" s="111">
        <f>C16+C15-1</f>
        <v>20</v>
      </c>
    </row>
    <row r="35" spans="1:11" ht="46.5" customHeight="1">
      <c r="A35" s="29" t="s">
        <v>234</v>
      </c>
      <c r="B35" s="11"/>
      <c r="C35" s="52">
        <f>C14*(1+$C$12)^C16</f>
        <v>27043391.207583681</v>
      </c>
      <c r="E35" s="268" t="s">
        <v>113</v>
      </c>
      <c r="F35" s="269"/>
      <c r="G35" s="269"/>
      <c r="H35" s="270"/>
    </row>
    <row r="36" spans="1:11" ht="45">
      <c r="A36" s="28" t="s">
        <v>286</v>
      </c>
      <c r="B36" s="11" t="s">
        <v>123</v>
      </c>
      <c r="C36" s="118">
        <v>0.5</v>
      </c>
      <c r="E36" s="31"/>
      <c r="F36" s="31"/>
      <c r="G36" s="31"/>
      <c r="H36" s="31"/>
      <c r="I36" s="17"/>
      <c r="J36" s="17"/>
      <c r="K36" s="17"/>
    </row>
    <row r="37" spans="1:11" ht="33.75">
      <c r="A37" s="28" t="s">
        <v>237</v>
      </c>
      <c r="B37" s="12" t="s">
        <v>29</v>
      </c>
      <c r="C37" s="119">
        <v>0</v>
      </c>
      <c r="E37" s="262" t="s">
        <v>38</v>
      </c>
      <c r="F37" s="263"/>
      <c r="G37" s="263"/>
      <c r="H37" s="264"/>
    </row>
    <row r="38" spans="1:11" ht="68.25" customHeight="1">
      <c r="A38" s="29" t="s">
        <v>235</v>
      </c>
      <c r="B38" s="11" t="s">
        <v>124</v>
      </c>
      <c r="C38" s="120">
        <f>C29</f>
        <v>0.5</v>
      </c>
      <c r="E38" s="262" t="s">
        <v>161</v>
      </c>
      <c r="F38" s="263"/>
      <c r="G38" s="263"/>
      <c r="H38" s="264"/>
      <c r="I38" s="17"/>
      <c r="J38" s="17"/>
      <c r="K38" s="17"/>
    </row>
    <row r="39" spans="1:11" ht="96.75" customHeight="1">
      <c r="A39" s="29" t="s">
        <v>256</v>
      </c>
      <c r="B39" s="11" t="s">
        <v>125</v>
      </c>
      <c r="C39" s="56">
        <f>((((1+($C$11/$C$10))^($C$15*$C$10))-1)/(($C$11/$C$10)*((1+($C$11/$C$10))^($C$15*$C$10))))</f>
        <v>7.7217349291848123</v>
      </c>
      <c r="E39" s="274" t="s">
        <v>276</v>
      </c>
      <c r="F39" s="275"/>
      <c r="G39" s="275"/>
      <c r="H39" s="276"/>
      <c r="I39" s="17"/>
      <c r="J39" s="17"/>
      <c r="K39" s="17"/>
    </row>
    <row r="40" spans="1:11" s="43" customFormat="1">
      <c r="A40" s="70"/>
      <c r="B40" s="41"/>
      <c r="C40" s="71"/>
      <c r="E40" s="265"/>
      <c r="F40" s="266"/>
      <c r="G40" s="266"/>
      <c r="H40" s="267"/>
      <c r="I40" s="45"/>
      <c r="J40" s="45"/>
      <c r="K40" s="45"/>
    </row>
    <row r="41" spans="1:11" s="43" customFormat="1">
      <c r="A41" s="15" t="s">
        <v>126</v>
      </c>
      <c r="B41" s="11"/>
      <c r="C41"/>
      <c r="D41"/>
      <c r="E41" s="72"/>
      <c r="F41" s="72"/>
      <c r="G41" s="72"/>
      <c r="H41" s="72"/>
      <c r="I41" s="45"/>
      <c r="J41" s="45"/>
      <c r="K41" s="45"/>
    </row>
    <row r="42" spans="1:11" s="43" customFormat="1">
      <c r="A42" s="76" t="s">
        <v>155</v>
      </c>
      <c r="B42" s="11"/>
      <c r="C42" s="111">
        <f>C19</f>
        <v>21</v>
      </c>
      <c r="D42"/>
      <c r="E42" s="75"/>
      <c r="F42" s="75"/>
      <c r="G42" s="75"/>
      <c r="H42" s="75"/>
      <c r="I42" s="45"/>
      <c r="J42" s="45"/>
      <c r="K42" s="45"/>
    </row>
    <row r="43" spans="1:11" s="43" customFormat="1">
      <c r="A43" s="146" t="s">
        <v>275</v>
      </c>
      <c r="B43" s="11"/>
      <c r="C43" s="111">
        <f>C19+C18-1</f>
        <v>30</v>
      </c>
      <c r="D43"/>
      <c r="E43" s="75"/>
      <c r="F43" s="75"/>
      <c r="G43" s="75"/>
      <c r="H43" s="75"/>
      <c r="I43" s="45"/>
      <c r="J43" s="45"/>
      <c r="K43" s="45"/>
    </row>
    <row r="44" spans="1:11" s="43" customFormat="1" ht="30">
      <c r="A44" s="29" t="s">
        <v>236</v>
      </c>
      <c r="B44" s="11"/>
      <c r="C44" s="52">
        <f>C17*(1+$C$12)^C19</f>
        <v>32965742.979779787</v>
      </c>
      <c r="D44"/>
      <c r="E44" s="271" t="s">
        <v>127</v>
      </c>
      <c r="F44" s="272"/>
      <c r="G44" s="272"/>
      <c r="H44" s="273"/>
      <c r="I44" s="45"/>
      <c r="J44" s="45"/>
      <c r="K44" s="45"/>
    </row>
    <row r="45" spans="1:11" s="43" customFormat="1" ht="45">
      <c r="A45" s="28" t="s">
        <v>286</v>
      </c>
      <c r="B45" s="11" t="s">
        <v>123</v>
      </c>
      <c r="C45" s="118">
        <v>0.5</v>
      </c>
      <c r="D45"/>
      <c r="E45" s="72"/>
      <c r="F45" s="72"/>
      <c r="G45" s="72"/>
      <c r="H45" s="72"/>
      <c r="I45" s="45"/>
      <c r="J45" s="45"/>
      <c r="K45" s="45"/>
    </row>
    <row r="46" spans="1:11" s="43" customFormat="1" ht="33.75">
      <c r="A46" s="28" t="s">
        <v>237</v>
      </c>
      <c r="B46" s="12" t="s">
        <v>29</v>
      </c>
      <c r="C46" s="119">
        <v>0</v>
      </c>
      <c r="D46"/>
      <c r="E46" s="271" t="s">
        <v>127</v>
      </c>
      <c r="F46" s="272"/>
      <c r="G46" s="272"/>
      <c r="H46" s="273"/>
      <c r="I46" s="45"/>
      <c r="J46" s="45"/>
      <c r="K46" s="45"/>
    </row>
    <row r="47" spans="1:11" s="43" customFormat="1" ht="65.25">
      <c r="A47" s="29" t="s">
        <v>235</v>
      </c>
      <c r="B47" s="11" t="s">
        <v>124</v>
      </c>
      <c r="C47" s="121">
        <f>C38</f>
        <v>0.5</v>
      </c>
      <c r="D47"/>
      <c r="E47" s="271" t="s">
        <v>127</v>
      </c>
      <c r="F47" s="272"/>
      <c r="G47" s="272"/>
      <c r="H47" s="273"/>
      <c r="I47" s="45"/>
      <c r="J47" s="45"/>
      <c r="K47" s="45"/>
    </row>
    <row r="48" spans="1:11" s="43" customFormat="1" ht="18">
      <c r="A48" s="29" t="s">
        <v>233</v>
      </c>
      <c r="B48" s="11" t="s">
        <v>125</v>
      </c>
      <c r="C48" s="56">
        <f>((((1+($C$11/$C$10))^($C$18*$C$10))-1)/(($C$11/$C$10)*((1+($C$11/$C$10))^($C$18*$C$10))))</f>
        <v>7.7217349291848123</v>
      </c>
      <c r="D48"/>
      <c r="E48" s="271" t="s">
        <v>127</v>
      </c>
      <c r="F48" s="272"/>
      <c r="G48" s="272"/>
      <c r="H48" s="273"/>
      <c r="I48" s="45"/>
      <c r="J48" s="45"/>
      <c r="K48" s="45"/>
    </row>
    <row r="49" spans="1:11" s="43" customFormat="1">
      <c r="A49" s="70"/>
      <c r="B49" s="41"/>
      <c r="C49" s="71"/>
      <c r="E49" s="72"/>
      <c r="F49" s="72"/>
      <c r="G49" s="72"/>
      <c r="H49" s="72"/>
      <c r="I49" s="45"/>
      <c r="J49" s="45"/>
      <c r="K49" s="45"/>
    </row>
    <row r="50" spans="1:11" s="43" customFormat="1">
      <c r="A50" s="15" t="s">
        <v>128</v>
      </c>
      <c r="B50" s="11"/>
      <c r="C50"/>
      <c r="D50"/>
      <c r="E50" s="72"/>
      <c r="F50" s="72"/>
      <c r="G50" s="72"/>
      <c r="H50" s="72"/>
      <c r="I50" s="45"/>
      <c r="J50" s="45"/>
      <c r="K50" s="45"/>
    </row>
    <row r="51" spans="1:11" s="43" customFormat="1">
      <c r="A51" s="76" t="s">
        <v>155</v>
      </c>
      <c r="B51" s="11"/>
      <c r="C51" s="111">
        <f>C22</f>
        <v>31</v>
      </c>
      <c r="D51"/>
      <c r="E51" s="75"/>
      <c r="F51" s="75"/>
      <c r="G51" s="75"/>
      <c r="H51" s="75"/>
      <c r="I51" s="45"/>
      <c r="J51" s="45"/>
      <c r="K51" s="45"/>
    </row>
    <row r="52" spans="1:11" s="43" customFormat="1">
      <c r="A52" s="146" t="s">
        <v>275</v>
      </c>
      <c r="B52" s="11"/>
      <c r="C52" s="111">
        <f>C22+C21-1</f>
        <v>40</v>
      </c>
      <c r="D52"/>
      <c r="E52" s="75"/>
      <c r="F52" s="75"/>
      <c r="G52" s="75"/>
      <c r="H52" s="75"/>
      <c r="I52" s="45"/>
      <c r="J52" s="45"/>
      <c r="K52" s="45"/>
    </row>
    <row r="53" spans="1:11" s="43" customFormat="1" ht="30">
      <c r="A53" s="29" t="s">
        <v>236</v>
      </c>
      <c r="B53" s="11"/>
      <c r="C53" s="52">
        <f>C20*(1+$C$12)^C22</f>
        <v>40185056.743332885</v>
      </c>
      <c r="D53"/>
      <c r="E53" s="271" t="s">
        <v>127</v>
      </c>
      <c r="F53" s="272"/>
      <c r="G53" s="272"/>
      <c r="H53" s="273"/>
      <c r="I53" s="45"/>
      <c r="J53" s="45"/>
      <c r="K53" s="45"/>
    </row>
    <row r="54" spans="1:11" s="43" customFormat="1" ht="45">
      <c r="A54" s="28" t="s">
        <v>286</v>
      </c>
      <c r="B54" s="11" t="s">
        <v>123</v>
      </c>
      <c r="C54" s="118">
        <v>0.5</v>
      </c>
      <c r="D54"/>
      <c r="E54" s="72"/>
      <c r="F54" s="72"/>
      <c r="G54" s="72"/>
      <c r="H54" s="72"/>
      <c r="I54" s="45"/>
      <c r="J54" s="45"/>
      <c r="K54" s="45"/>
    </row>
    <row r="55" spans="1:11" s="43" customFormat="1" ht="33.75">
      <c r="A55" s="28" t="s">
        <v>237</v>
      </c>
      <c r="B55" s="12" t="s">
        <v>29</v>
      </c>
      <c r="C55" s="119">
        <v>0</v>
      </c>
      <c r="D55"/>
      <c r="E55" s="271" t="s">
        <v>127</v>
      </c>
      <c r="F55" s="272"/>
      <c r="G55" s="272"/>
      <c r="H55" s="273"/>
      <c r="I55" s="45"/>
      <c r="J55" s="45"/>
      <c r="K55" s="45"/>
    </row>
    <row r="56" spans="1:11" s="43" customFormat="1" ht="65.25">
      <c r="A56" s="29" t="s">
        <v>235</v>
      </c>
      <c r="B56" s="11" t="s">
        <v>124</v>
      </c>
      <c r="C56" s="121">
        <f>C47</f>
        <v>0.5</v>
      </c>
      <c r="D56"/>
      <c r="E56" s="271" t="s">
        <v>127</v>
      </c>
      <c r="F56" s="272"/>
      <c r="G56" s="272"/>
      <c r="H56" s="273"/>
      <c r="I56" s="45"/>
      <c r="J56" s="45"/>
      <c r="K56" s="45"/>
    </row>
    <row r="57" spans="1:11" s="43" customFormat="1" ht="30">
      <c r="A57" s="29" t="s">
        <v>256</v>
      </c>
      <c r="B57" s="11" t="s">
        <v>125</v>
      </c>
      <c r="C57" s="56">
        <f>((((1+($C$11/$C$10))^($C$21*$C$10))-1)/(($C$11/$C$10)*((1+($C$11/$C$10))^($C$21*$C$10))))</f>
        <v>7.7217349291848123</v>
      </c>
      <c r="D57"/>
      <c r="E57" s="271" t="s">
        <v>127</v>
      </c>
      <c r="F57" s="272"/>
      <c r="G57" s="272"/>
      <c r="H57" s="273"/>
      <c r="I57" s="45"/>
      <c r="J57" s="45"/>
      <c r="K57" s="45"/>
    </row>
    <row r="58" spans="1:11" s="43" customFormat="1" ht="15.75" thickBot="1">
      <c r="A58" s="70"/>
      <c r="B58" s="41"/>
      <c r="C58" s="71"/>
      <c r="E58" s="72"/>
      <c r="F58" s="72"/>
      <c r="G58" s="72"/>
      <c r="H58" s="72"/>
      <c r="I58" s="45"/>
      <c r="J58" s="45"/>
      <c r="K58" s="45"/>
    </row>
    <row r="59" spans="1:11" ht="15" customHeight="1">
      <c r="B59" s="259" t="s">
        <v>156</v>
      </c>
      <c r="C59" s="260"/>
      <c r="D59" s="260"/>
      <c r="E59" s="260"/>
      <c r="F59" s="260"/>
      <c r="G59" s="261"/>
      <c r="H59" s="39"/>
      <c r="I59" s="24"/>
    </row>
    <row r="60" spans="1:11">
      <c r="B60" s="78" t="s">
        <v>68</v>
      </c>
      <c r="C60" s="79" t="s">
        <v>0</v>
      </c>
      <c r="D60" s="79" t="s">
        <v>66</v>
      </c>
      <c r="E60" s="79" t="str">
        <f>"Costs ("&amp;B63&amp;" €)"</f>
        <v>Costs (2012 €)</v>
      </c>
      <c r="F60" s="79" t="s">
        <v>67</v>
      </c>
      <c r="G60" s="80" t="s">
        <v>43</v>
      </c>
      <c r="H60" s="7"/>
      <c r="I60" s="7"/>
    </row>
    <row r="61" spans="1:11">
      <c r="B61" s="78" t="s">
        <v>3</v>
      </c>
      <c r="C61" s="79"/>
      <c r="D61" s="81">
        <f>SUM(D64:D103)</f>
        <v>285949016.34847146</v>
      </c>
      <c r="E61" s="81">
        <f>SUM(E64:E103)</f>
        <v>192727811.78329057</v>
      </c>
      <c r="F61" s="81">
        <f>SUM(F64:F103)</f>
        <v>118331163.5026398</v>
      </c>
      <c r="G61" s="82"/>
      <c r="H61" s="22"/>
      <c r="I61" s="22"/>
    </row>
    <row r="62" spans="1:11">
      <c r="B62" s="83"/>
      <c r="C62" s="84"/>
      <c r="D62" s="84"/>
      <c r="E62" s="84"/>
      <c r="F62" s="84"/>
      <c r="G62" s="85"/>
      <c r="H62" s="7"/>
      <c r="I62" s="7"/>
    </row>
    <row r="63" spans="1:11">
      <c r="B63" s="86">
        <f>'Input Information'!G18</f>
        <v>2012</v>
      </c>
      <c r="C63" s="87">
        <v>0</v>
      </c>
      <c r="D63" s="88"/>
      <c r="E63" s="88"/>
      <c r="F63" s="88"/>
      <c r="G63" s="89"/>
      <c r="H63" s="1"/>
      <c r="I63" s="1"/>
    </row>
    <row r="64" spans="1:11">
      <c r="B64" s="86">
        <f t="shared" ref="B64:C79" si="0">B63+1</f>
        <v>2013</v>
      </c>
      <c r="C64" s="87">
        <f t="shared" si="0"/>
        <v>1</v>
      </c>
      <c r="D64" s="90">
        <f>IF(G64="inf/ref1/ref2/ref3",(((($C$8*(1-$C$27)*$C$29)/$C$30)*$C$10)+((($C$35*(1-$C$36)*$C$38)/$C$39)*$C$10)+((($C$44*(1-$C$45)*$C$47)/$C$48)*$C$10)+((($C$53*(1-$C$54)*$C$56)/$C$57)*$C$10)), IF(G64="inf/ref1/ref2",(((($C$8*(1-$C$27)*$C$29)/$C$30)*$C$10)+((($C$35*(1-$C$36)*$C$38)/$C$39)*$C$10)+((($C$44*(1-$C$45)*$C$47)/$C$48)*$C$10)), IF(G64="inf/ref1/ref3",(((($C$8*(1-$C$27)*$C$29)/$C$30)*$C$10)+((($C$35*(1-$C$36)*$C$38)/$C$39)*$C$10)+ ((($C$53*(1-$C$54)*$C$56)/$C$57)*$C$10)),IF(G64="inf/ref2/ref3",(((($C$8*(1-$C$27)*$C$29)/$C$30)*$C$10)+ ((($C$44*(1-$C$45)*$C$47)/$C$48)*$C$10)+((($C$53*(1-$C$54)*$C$56)/$C$57)*$C$10)), IF(G64="inf/ref1",(((($C$8*(1-$C$27)*$C$29)/$C$30)*$C$10)+((($C$35*(1-$C$36)*$C$38)/$C$39)*$C$10)), IF(G64="inf/ref2",(((($C$8*(1-$C$27)*$C$29)/$C$30)*$C$10)+((($C$44*(1-$C$45)*$C$47)/$C$48)*$C$10)), IF(G64="inf/ref3", (((($C$8*(1-$C$27)*$C$29)/$C$30)*$C$10)+((($C$53*(1-$C$54)*$C$56)/$C$57)*$C$10)), ((($C$8*(1-$C$27)*$C$29)/$C$30)*$C$10))))))))</f>
        <v>6337750.0268063061</v>
      </c>
      <c r="E64" s="88">
        <f>D64/((1+$C$12)^(C64))</f>
        <v>6213480.4184375545</v>
      </c>
      <c r="F64" s="88">
        <f>E64/((1+$C$13)^(C64))</f>
        <v>6035952.4064821955</v>
      </c>
      <c r="G64" s="91" t="str">
        <f>IF(AND(C64&gt;=$C$33,C64&lt;=$C$34,C64&gt;=$C$42,C64&lt;=$C$43,C64&gt;=$C$51,C64&lt;=$C$52),"inf/ref1/ref2/ref3",IF(AND(C64&gt;=$C$33,C64&lt;=$C$34,C64&gt;=$C$42,C64&lt;=$C$43),"inf/ref1/ref2",IF(AND(C64&gt;=$C$33,C64&lt;=$C$34,C64&gt;=$C$51,C64&lt;=$C$52),"inf/ref1/ref3", IF(AND(C64&gt;=$C$42,C64&lt;=$C$43,C64&gt;=$C$51,C64&lt;=$C$52),"inf/ref2/ref3",IF(AND(C64&gt;=$C$33,C64&lt;=$C$34),"inf/ref1",IF(AND(C64&gt;=$C$42,C64&lt;=$C$43),"inf/ref2",IF(AND(C64&gt;=$C$51,C64&lt;=$C$52),"inf/ref3","inf")))))))</f>
        <v>inf</v>
      </c>
      <c r="H64" s="1"/>
      <c r="I64" s="23"/>
    </row>
    <row r="65" spans="2:9">
      <c r="B65" s="86">
        <f t="shared" si="0"/>
        <v>2014</v>
      </c>
      <c r="C65" s="87">
        <f t="shared" si="0"/>
        <v>2</v>
      </c>
      <c r="D65" s="90">
        <f t="shared" ref="D65:D103" si="1">IF(G65="inf/ref1/ref2/ref3",(((($C$8*(1-$C$27)*$C$29)/$C$30)*$C$10)+((($C$35*(1-$C$36)*$C$38)/$C$39)*$C$10)+((($C$44*(1-$C$45)*$C$47)/$C$48)*$C$10)+((($C$53*(1-$C$54)*$C$56)/$C$57)*$C$10)), IF(G65="inf/ref1/ref2",(((($C$8*(1-$C$27)*$C$29)/$C$30)*$C$10)+((($C$35*(1-$C$36)*$C$38)/$C$39)*$C$10)+((($C$44*(1-$C$45)*$C$47)/$C$48)*$C$10)), IF(G65="inf/ref1/ref3",(((($C$8*(1-$C$27)*$C$29)/$C$30)*$C$10)+((($C$35*(1-$C$36)*$C$38)/$C$39)*$C$10)+ ((($C$53*(1-$C$54)*$C$56)/$C$57)*$C$10)),IF(G65="inf/ref2/ref3",(((($C$8*(1-$C$27)*$C$29)/$C$30)*$C$10)+ ((($C$44*(1-$C$45)*$C$47)/$C$48)*$C$10)+((($C$53*(1-$C$54)*$C$56)/$C$57)*$C$10)), IF(G65="inf/ref1",(((($C$8*(1-$C$27)*$C$29)/$C$30)*$C$10)+((($C$35*(1-$C$36)*$C$38)/$C$39)*$C$10)), IF(G65="inf/ref2",(((($C$8*(1-$C$27)*$C$29)/$C$30)*$C$10)+((($C$44*(1-$C$45)*$C$47)/$C$48)*$C$10)), IF(G65="inf/ref3", (((($C$8*(1-$C$27)*$C$29)/$C$30)*$C$10)+((($C$53*(1-$C$54)*$C$56)/$C$57)*$C$10)), ((($C$8*(1-$C$27)*$C$29)/$C$30)*$C$10))))))))</f>
        <v>6337750.0268063061</v>
      </c>
      <c r="E65" s="88">
        <f t="shared" ref="E65:E103" si="2">D65/((1+$C$12)^(C65))</f>
        <v>6091647.4690564265</v>
      </c>
      <c r="F65" s="88">
        <f t="shared" ref="F65:F103" si="3">E65/((1+$C$13)^(C65))</f>
        <v>5748526.1014116146</v>
      </c>
      <c r="G65" s="91" t="str">
        <f t="shared" ref="G65:G103" si="4">IF(AND(C65&gt;=$C$33,C65&lt;=$C$34,C65&gt;=$C$42,C65&lt;=$C$43,C65&gt;=$C$51,C65&lt;=$C$52),"inf/ref1/ref2/ref3",IF(AND(C65&gt;=$C$33,C65&lt;=$C$34,C65&gt;=$C$42,C65&lt;=$C$43),"inf/ref1/ref2",IF(AND(C65&gt;=$C$33,C65&lt;=$C$34,C65&gt;=$C$51,C65&lt;=$C$52),"inf/ref1/ref3", IF(AND(C65&gt;=$C$42,C65&lt;=$C$43,C65&gt;=$C$51,C65&lt;=$C$52),"inf/ref2/ref3",IF(AND(C65&gt;=$C$33,C65&lt;=$C$34),"inf/ref1",IF(AND(C65&gt;=$C$42,C65&lt;=$C$43),"inf/ref2",IF(AND(C65&gt;=$C$51,C65&lt;=$C$52),"inf/ref3","inf")))))))</f>
        <v>inf</v>
      </c>
      <c r="H65" s="1"/>
      <c r="I65" s="23"/>
    </row>
    <row r="66" spans="2:9">
      <c r="B66" s="86">
        <f t="shared" si="0"/>
        <v>2015</v>
      </c>
      <c r="C66" s="87">
        <f t="shared" si="0"/>
        <v>3</v>
      </c>
      <c r="D66" s="90">
        <f t="shared" si="1"/>
        <v>6337750.0268063061</v>
      </c>
      <c r="E66" s="88">
        <f t="shared" si="2"/>
        <v>5972203.401035713</v>
      </c>
      <c r="F66" s="88">
        <f t="shared" si="3"/>
        <v>5474786.763249157</v>
      </c>
      <c r="G66" s="91" t="str">
        <f t="shared" si="4"/>
        <v>inf</v>
      </c>
      <c r="H66" s="1"/>
      <c r="I66" s="23"/>
    </row>
    <row r="67" spans="2:9">
      <c r="B67" s="86">
        <f t="shared" si="0"/>
        <v>2016</v>
      </c>
      <c r="C67" s="87">
        <f t="shared" si="0"/>
        <v>4</v>
      </c>
      <c r="D67" s="90">
        <f t="shared" si="1"/>
        <v>6337750.0268063061</v>
      </c>
      <c r="E67" s="88">
        <f t="shared" si="2"/>
        <v>5855101.373564424</v>
      </c>
      <c r="F67" s="88">
        <f t="shared" si="3"/>
        <v>5214082.6316658622</v>
      </c>
      <c r="G67" s="91" t="str">
        <f t="shared" si="4"/>
        <v>inf</v>
      </c>
      <c r="H67" s="1"/>
      <c r="I67" s="23"/>
    </row>
    <row r="68" spans="2:9">
      <c r="B68" s="86">
        <f t="shared" si="0"/>
        <v>2017</v>
      </c>
      <c r="C68" s="87">
        <f t="shared" si="0"/>
        <v>5</v>
      </c>
      <c r="D68" s="90">
        <f t="shared" si="1"/>
        <v>6337750.0268063061</v>
      </c>
      <c r="E68" s="88">
        <f t="shared" si="2"/>
        <v>5740295.464278847</v>
      </c>
      <c r="F68" s="88">
        <f t="shared" si="3"/>
        <v>4965792.9825389162</v>
      </c>
      <c r="G68" s="91" t="str">
        <f t="shared" si="4"/>
        <v>inf</v>
      </c>
      <c r="H68" s="1"/>
      <c r="I68" s="23"/>
    </row>
    <row r="69" spans="2:9">
      <c r="B69" s="86">
        <f t="shared" si="0"/>
        <v>2018</v>
      </c>
      <c r="C69" s="87">
        <f t="shared" si="0"/>
        <v>6</v>
      </c>
      <c r="D69" s="90">
        <f t="shared" si="1"/>
        <v>6337750.0268063061</v>
      </c>
      <c r="E69" s="88">
        <f t="shared" si="2"/>
        <v>5627740.651253771</v>
      </c>
      <c r="F69" s="88">
        <f t="shared" si="3"/>
        <v>4729326.6500370624</v>
      </c>
      <c r="G69" s="91" t="str">
        <f t="shared" si="4"/>
        <v>inf</v>
      </c>
      <c r="H69" s="1"/>
      <c r="I69" s="23"/>
    </row>
    <row r="70" spans="2:9">
      <c r="B70" s="86">
        <f t="shared" si="0"/>
        <v>2019</v>
      </c>
      <c r="C70" s="87">
        <f t="shared" si="0"/>
        <v>7</v>
      </c>
      <c r="D70" s="90">
        <f t="shared" si="1"/>
        <v>6337750.0268063061</v>
      </c>
      <c r="E70" s="88">
        <f t="shared" si="2"/>
        <v>5517392.7953468356</v>
      </c>
      <c r="F70" s="88">
        <f t="shared" si="3"/>
        <v>4504120.6190829175</v>
      </c>
      <c r="G70" s="91" t="str">
        <f t="shared" si="4"/>
        <v>inf</v>
      </c>
      <c r="H70" s="1"/>
      <c r="I70" s="23"/>
    </row>
    <row r="71" spans="2:9">
      <c r="B71" s="86">
        <f t="shared" si="0"/>
        <v>2020</v>
      </c>
      <c r="C71" s="87">
        <f t="shared" si="0"/>
        <v>8</v>
      </c>
      <c r="D71" s="90">
        <f t="shared" si="1"/>
        <v>6337750.0268063061</v>
      </c>
      <c r="E71" s="88">
        <f t="shared" si="2"/>
        <v>5409208.622889054</v>
      </c>
      <c r="F71" s="88">
        <f t="shared" si="3"/>
        <v>4289638.6848408729</v>
      </c>
      <c r="G71" s="91" t="str">
        <f t="shared" si="4"/>
        <v>inf</v>
      </c>
      <c r="H71" s="1"/>
      <c r="I71" s="23"/>
    </row>
    <row r="72" spans="2:9">
      <c r="B72" s="86">
        <f t="shared" si="0"/>
        <v>2021</v>
      </c>
      <c r="C72" s="87">
        <f t="shared" si="0"/>
        <v>9</v>
      </c>
      <c r="D72" s="90">
        <f t="shared" si="1"/>
        <v>6337750.0268063061</v>
      </c>
      <c r="E72" s="88">
        <f t="shared" si="2"/>
        <v>5303145.708714759</v>
      </c>
      <c r="F72" s="88">
        <f t="shared" si="3"/>
        <v>4085370.176038926</v>
      </c>
      <c r="G72" s="91" t="str">
        <f t="shared" si="4"/>
        <v>inf</v>
      </c>
      <c r="H72" s="1"/>
      <c r="I72" s="23"/>
    </row>
    <row r="73" spans="2:9">
      <c r="B73" s="86">
        <f t="shared" si="0"/>
        <v>2022</v>
      </c>
      <c r="C73" s="87">
        <f t="shared" si="0"/>
        <v>10</v>
      </c>
      <c r="D73" s="90">
        <f t="shared" si="1"/>
        <v>6337750.0268063061</v>
      </c>
      <c r="E73" s="88">
        <f t="shared" si="2"/>
        <v>5199162.4595242729</v>
      </c>
      <c r="F73" s="88">
        <f t="shared" si="3"/>
        <v>3890828.7390846908</v>
      </c>
      <c r="G73" s="91" t="str">
        <f t="shared" si="4"/>
        <v>inf</v>
      </c>
      <c r="H73" s="1"/>
      <c r="I73" s="23"/>
    </row>
    <row r="74" spans="2:9">
      <c r="B74" s="86">
        <f t="shared" si="0"/>
        <v>2023</v>
      </c>
      <c r="C74" s="87">
        <f t="shared" si="0"/>
        <v>11</v>
      </c>
      <c r="D74" s="90">
        <f t="shared" si="1"/>
        <v>7213310.7477969797</v>
      </c>
      <c r="E74" s="88">
        <f t="shared" si="2"/>
        <v>5801399.2239474887</v>
      </c>
      <c r="F74" s="88">
        <f t="shared" si="3"/>
        <v>4217473.3999814931</v>
      </c>
      <c r="G74" s="91" t="str">
        <f t="shared" si="4"/>
        <v>inf/ref1</v>
      </c>
      <c r="H74" s="1"/>
      <c r="I74" s="23"/>
    </row>
    <row r="75" spans="2:9">
      <c r="B75" s="86">
        <f t="shared" si="0"/>
        <v>2024</v>
      </c>
      <c r="C75" s="87">
        <f t="shared" si="0"/>
        <v>12</v>
      </c>
      <c r="D75" s="90">
        <f>IF(G75="inf/ref1/ref2/ref3",(((($C$8*(1-$C$27)*$C$29)/$C$30)*$C$10)+((($C$35*(1-$C$36)*$C$38)/$C$39)*$C$10)+((($C$44*(1-$C$45)*$C$47)/$C$48)*$C$10)+((($C$53*(1-$C$54)*$C$56)/$C$57)*$C$10)), IF(G75="inf/ref1/ref2",(((($C$8*(1-$C$27)*$C$29)/$C$30)*$C$10)+((($C$35*(1-$C$36)*$C$38)/$C$39)*$C$10)+((($C$44*(1-$C$45)*$C$47)/$C$48)*$C$10)), IF(G75="inf/ref1/ref3",(((($C$8*(1-$C$27)*$C$29)/$C$30)*$C$10)+((($C$35*(1-$C$36)*$C$38)/$C$39)*$C$10)+ ((($C$53*(1-$C$54)*$C$56)/$C$57)*$C$10)),IF(G75="inf/ref2/ref3",(((($C$8*(1-$C$27)*$C$29)/$C$30)*$C$10)+ ((($C$44*(1-$C$45)*$C$47)/$C$48)*$C$10)+((($C$53*(1-$C$54)*$C$56)/$C$57)*$C$10)), IF(G75="inf/ref1",(((($C$8*(1-$C$27)*$C$29)/$C$30)*$C$10)+((($C$35*(1-$C$36)*$C$38)/$C$39)*$C$10)), IF(G75="inf/ref2",(((($C$8*(1-$C$27)*$C$29)/$C$30)*$C$10)+((($C$44*(1-$C$45)*$C$47)/$C$48)*$C$10)), IF(G75="inf/ref3", (((($C$8*(1-$C$27)*$C$29)/$C$30)*$C$10)+((($C$53*(1-$C$54)*$C$56)/$C$57)*$C$10)), ((($C$8*(1-$C$27)*$C$29)/$C$30)*$C$10))))))))</f>
        <v>7213310.7477969797</v>
      </c>
      <c r="E75" s="88">
        <f t="shared" si="2"/>
        <v>5687646.297987733</v>
      </c>
      <c r="F75" s="88">
        <f t="shared" si="3"/>
        <v>4016641.3333157068</v>
      </c>
      <c r="G75" s="91" t="str">
        <f t="shared" si="4"/>
        <v>inf/ref1</v>
      </c>
      <c r="H75" s="1"/>
      <c r="I75" s="23"/>
    </row>
    <row r="76" spans="2:9">
      <c r="B76" s="86">
        <f t="shared" si="0"/>
        <v>2025</v>
      </c>
      <c r="C76" s="87">
        <f t="shared" si="0"/>
        <v>13</v>
      </c>
      <c r="D76" s="90">
        <f t="shared" si="1"/>
        <v>7213310.7477969797</v>
      </c>
      <c r="E76" s="88">
        <f t="shared" si="2"/>
        <v>5576123.8215566017</v>
      </c>
      <c r="F76" s="88">
        <f t="shared" si="3"/>
        <v>3825372.6983959111</v>
      </c>
      <c r="G76" s="91" t="str">
        <f t="shared" si="4"/>
        <v>inf/ref1</v>
      </c>
      <c r="H76" s="1"/>
      <c r="I76" s="23"/>
    </row>
    <row r="77" spans="2:9">
      <c r="B77" s="86">
        <f t="shared" si="0"/>
        <v>2026</v>
      </c>
      <c r="C77" s="87">
        <f t="shared" si="0"/>
        <v>14</v>
      </c>
      <c r="D77" s="90">
        <f t="shared" si="1"/>
        <v>7213310.7477969797</v>
      </c>
      <c r="E77" s="88">
        <f t="shared" si="2"/>
        <v>5466788.0603496088</v>
      </c>
      <c r="F77" s="88">
        <f t="shared" si="3"/>
        <v>3643212.0937103909</v>
      </c>
      <c r="G77" s="91" t="str">
        <f t="shared" si="4"/>
        <v>inf/ref1</v>
      </c>
      <c r="H77" s="1"/>
      <c r="I77" s="23"/>
    </row>
    <row r="78" spans="2:9">
      <c r="B78" s="86">
        <f t="shared" si="0"/>
        <v>2027</v>
      </c>
      <c r="C78" s="87">
        <f t="shared" si="0"/>
        <v>15</v>
      </c>
      <c r="D78" s="90">
        <f t="shared" si="1"/>
        <v>7213310.7477969797</v>
      </c>
      <c r="E78" s="88">
        <f t="shared" si="2"/>
        <v>5359596.1375976568</v>
      </c>
      <c r="F78" s="88">
        <f t="shared" si="3"/>
        <v>3469725.8035337063</v>
      </c>
      <c r="G78" s="91" t="str">
        <f t="shared" si="4"/>
        <v>inf/ref1</v>
      </c>
      <c r="H78" s="1"/>
      <c r="I78" s="23"/>
    </row>
    <row r="79" spans="2:9">
      <c r="B79" s="86">
        <f t="shared" si="0"/>
        <v>2028</v>
      </c>
      <c r="C79" s="87">
        <f t="shared" si="0"/>
        <v>16</v>
      </c>
      <c r="D79" s="90">
        <f t="shared" si="1"/>
        <v>7213310.7477969797</v>
      </c>
      <c r="E79" s="88">
        <f t="shared" si="2"/>
        <v>5254506.0172526045</v>
      </c>
      <c r="F79" s="88">
        <f t="shared" si="3"/>
        <v>3304500.7652701964</v>
      </c>
      <c r="G79" s="91" t="str">
        <f t="shared" si="4"/>
        <v>inf/ref1</v>
      </c>
      <c r="H79" s="1"/>
      <c r="I79" s="23"/>
    </row>
    <row r="80" spans="2:9">
      <c r="B80" s="86">
        <f t="shared" ref="B80:C95" si="5">B79+1</f>
        <v>2029</v>
      </c>
      <c r="C80" s="87">
        <f t="shared" si="5"/>
        <v>17</v>
      </c>
      <c r="D80" s="90">
        <f t="shared" si="1"/>
        <v>7213310.7477969797</v>
      </c>
      <c r="E80" s="88">
        <f t="shared" si="2"/>
        <v>5151476.4875025526</v>
      </c>
      <c r="F80" s="88">
        <f t="shared" si="3"/>
        <v>3147143.5859716143</v>
      </c>
      <c r="G80" s="91" t="str">
        <f t="shared" si="4"/>
        <v>inf/ref1</v>
      </c>
      <c r="H80" s="1"/>
      <c r="I80" s="23"/>
    </row>
    <row r="81" spans="2:9">
      <c r="B81" s="86">
        <f t="shared" si="5"/>
        <v>2030</v>
      </c>
      <c r="C81" s="87">
        <f t="shared" si="5"/>
        <v>18</v>
      </c>
      <c r="D81" s="90">
        <f t="shared" si="1"/>
        <v>7213310.7477969797</v>
      </c>
      <c r="E81" s="88">
        <f t="shared" si="2"/>
        <v>5050467.1446103463</v>
      </c>
      <c r="F81" s="88">
        <f t="shared" si="3"/>
        <v>2997279.6056872518</v>
      </c>
      <c r="G81" s="91" t="str">
        <f t="shared" si="4"/>
        <v>inf/ref1</v>
      </c>
      <c r="H81" s="1"/>
      <c r="I81" s="23"/>
    </row>
    <row r="82" spans="2:9">
      <c r="B82" s="86">
        <f t="shared" si="5"/>
        <v>2031</v>
      </c>
      <c r="C82" s="87">
        <f t="shared" si="5"/>
        <v>19</v>
      </c>
      <c r="D82" s="90">
        <f t="shared" si="1"/>
        <v>7213310.7477969797</v>
      </c>
      <c r="E82" s="88">
        <f t="shared" si="2"/>
        <v>4951438.3770689666</v>
      </c>
      <c r="F82" s="88">
        <f t="shared" si="3"/>
        <v>2854552.0054164301</v>
      </c>
      <c r="G82" s="91" t="str">
        <f t="shared" si="4"/>
        <v>inf/ref1</v>
      </c>
      <c r="H82" s="1"/>
      <c r="I82" s="23"/>
    </row>
    <row r="83" spans="2:9">
      <c r="B83" s="86">
        <f t="shared" si="5"/>
        <v>2032</v>
      </c>
      <c r="C83" s="87">
        <f t="shared" si="5"/>
        <v>20</v>
      </c>
      <c r="D83" s="90">
        <f t="shared" si="1"/>
        <v>7213310.7477969797</v>
      </c>
      <c r="E83" s="88">
        <f t="shared" si="2"/>
        <v>4854351.3500676146</v>
      </c>
      <c r="F83" s="88">
        <f t="shared" si="3"/>
        <v>2718620.9575394569</v>
      </c>
      <c r="G83" s="91" t="str">
        <f t="shared" si="4"/>
        <v>inf/ref1</v>
      </c>
      <c r="H83" s="1"/>
      <c r="I83" s="23"/>
    </row>
    <row r="84" spans="2:9">
      <c r="B84" s="86">
        <f t="shared" si="5"/>
        <v>2033</v>
      </c>
      <c r="C84" s="87">
        <f t="shared" si="5"/>
        <v>21</v>
      </c>
      <c r="D84" s="90">
        <f t="shared" si="1"/>
        <v>7405053.6600605231</v>
      </c>
      <c r="E84" s="88">
        <f t="shared" si="2"/>
        <v>4885675.3268114049</v>
      </c>
      <c r="F84" s="88">
        <f t="shared" si="3"/>
        <v>2657987.471035264</v>
      </c>
      <c r="G84" s="91" t="str">
        <f t="shared" si="4"/>
        <v>inf/ref2</v>
      </c>
      <c r="H84" s="1"/>
      <c r="I84" s="23"/>
    </row>
    <row r="85" spans="2:9">
      <c r="B85" s="86">
        <f t="shared" si="5"/>
        <v>2034</v>
      </c>
      <c r="C85" s="87">
        <f t="shared" si="5"/>
        <v>22</v>
      </c>
      <c r="D85" s="90">
        <f>IF(G85="inf/ref1/ref2/ref3",(((($C$8*(1-$C$27)*$C$29)/$C$30)*$C$10)+((($C$35*(1-$C$36)*$C$38)/$C$39)*$C$10)+((($C$44*(1-$C$45)*$C$47)/$C$48)*$C$10)+((($C$53*(1-$C$54)*$C$56)/$C$57)*$C$10)), IF(G85="inf/ref1/ref2",(((($C$8*(1-$C$27)*$C$29)/$C$30)*$C$10)+((($C$35*(1-$C$36)*$C$38)/$C$39)*$C$10)+((($C$44*(1-$C$45)*$C$47)/$C$48)*$C$10)), IF(G85="inf/ref1/ref3",(((($C$8*(1-$C$27)*$C$29)/$C$30)*$C$10)+((($C$35*(1-$C$36)*$C$38)/$C$39)*$C$10)+ ((($C$53*(1-$C$54)*$C$56)/$C$57)*$C$10)),IF(G85="inf/ref2/ref3",(((($C$8*(1-$C$27)*$C$29)/$C$30)*$C$10)+ ((($C$44*(1-$C$45)*$C$47)/$C$48)*$C$10)+((($C$53*(1-$C$54)*$C$56)/$C$57)*$C$10)), IF(G85="inf/ref1",(((($C$8*(1-$C$27)*$C$29)/$C$30)*$C$10)+((($C$35*(1-$C$36)*$C$38)/$C$39)*$C$10)), IF(G85="inf/ref2",(((($C$8*(1-$C$27)*$C$29)/$C$30)*$C$10)+((($C$44*(1-$C$45)*$C$47)/$C$48)*$C$10)), IF(G85="inf/ref3", (((($C$8*(1-$C$27)*$C$29)/$C$30)*$C$10)+((($C$53*(1-$C$54)*$C$56)/$C$57)*$C$10)), ((($C$8*(1-$C$27)*$C$29)/$C$30)*$C$10))))))))</f>
        <v>7405053.6600605231</v>
      </c>
      <c r="E85" s="88">
        <f t="shared" si="2"/>
        <v>4789877.7713837298</v>
      </c>
      <c r="F85" s="88">
        <f t="shared" si="3"/>
        <v>2531416.6390812029</v>
      </c>
      <c r="G85" s="91" t="str">
        <f t="shared" si="4"/>
        <v>inf/ref2</v>
      </c>
      <c r="H85" s="1"/>
      <c r="I85" s="23"/>
    </row>
    <row r="86" spans="2:9">
      <c r="B86" s="86">
        <f t="shared" si="5"/>
        <v>2035</v>
      </c>
      <c r="C86" s="87">
        <f t="shared" si="5"/>
        <v>23</v>
      </c>
      <c r="D86" s="90">
        <f t="shared" si="1"/>
        <v>7405053.6600605231</v>
      </c>
      <c r="E86" s="88">
        <f t="shared" si="2"/>
        <v>4695958.5993958144</v>
      </c>
      <c r="F86" s="88">
        <f t="shared" si="3"/>
        <v>2410872.989601146</v>
      </c>
      <c r="G86" s="91" t="str">
        <f t="shared" si="4"/>
        <v>inf/ref2</v>
      </c>
      <c r="H86" s="1"/>
      <c r="I86" s="23"/>
    </row>
    <row r="87" spans="2:9">
      <c r="B87" s="86">
        <f t="shared" si="5"/>
        <v>2036</v>
      </c>
      <c r="C87" s="87">
        <f t="shared" si="5"/>
        <v>24</v>
      </c>
      <c r="D87" s="90">
        <f t="shared" si="1"/>
        <v>7405053.6600605231</v>
      </c>
      <c r="E87" s="88">
        <f t="shared" si="2"/>
        <v>4603880.9797998182</v>
      </c>
      <c r="F87" s="88">
        <f t="shared" si="3"/>
        <v>2296069.513905853</v>
      </c>
      <c r="G87" s="91" t="str">
        <f t="shared" si="4"/>
        <v>inf/ref2</v>
      </c>
      <c r="H87" s="1"/>
      <c r="I87" s="23"/>
    </row>
    <row r="88" spans="2:9">
      <c r="B88" s="86">
        <f t="shared" si="5"/>
        <v>2037</v>
      </c>
      <c r="C88" s="87">
        <f t="shared" si="5"/>
        <v>25</v>
      </c>
      <c r="D88" s="90">
        <f t="shared" si="1"/>
        <v>7405053.6600605231</v>
      </c>
      <c r="E88" s="88">
        <f t="shared" si="2"/>
        <v>4513608.8037253115</v>
      </c>
      <c r="F88" s="88">
        <f t="shared" si="3"/>
        <v>2186732.8703865265</v>
      </c>
      <c r="G88" s="91" t="str">
        <f t="shared" si="4"/>
        <v>inf/ref2</v>
      </c>
      <c r="H88" s="1"/>
      <c r="I88" s="23"/>
    </row>
    <row r="89" spans="2:9">
      <c r="B89" s="86">
        <f t="shared" si="5"/>
        <v>2038</v>
      </c>
      <c r="C89" s="87">
        <f t="shared" si="5"/>
        <v>26</v>
      </c>
      <c r="D89" s="90">
        <f t="shared" si="1"/>
        <v>7405053.6600605231</v>
      </c>
      <c r="E89" s="88">
        <f t="shared" si="2"/>
        <v>4425106.6703189323</v>
      </c>
      <c r="F89" s="88">
        <f t="shared" si="3"/>
        <v>2082602.7337014531</v>
      </c>
      <c r="G89" s="91" t="str">
        <f t="shared" si="4"/>
        <v>inf/ref2</v>
      </c>
      <c r="H89" s="1"/>
      <c r="I89" s="23"/>
    </row>
    <row r="90" spans="2:9">
      <c r="B90" s="86">
        <f t="shared" si="5"/>
        <v>2039</v>
      </c>
      <c r="C90" s="87">
        <f t="shared" si="5"/>
        <v>27</v>
      </c>
      <c r="D90" s="90">
        <f t="shared" si="1"/>
        <v>7405053.6600605231</v>
      </c>
      <c r="E90" s="88">
        <f t="shared" si="2"/>
        <v>4338339.8728616992</v>
      </c>
      <c r="F90" s="88">
        <f t="shared" si="3"/>
        <v>1983431.1749537652</v>
      </c>
      <c r="G90" s="91" t="str">
        <f t="shared" si="4"/>
        <v>inf/ref2</v>
      </c>
      <c r="H90" s="1"/>
      <c r="I90" s="23"/>
    </row>
    <row r="91" spans="2:9">
      <c r="B91" s="86">
        <f t="shared" si="5"/>
        <v>2040</v>
      </c>
      <c r="C91" s="87">
        <f t="shared" si="5"/>
        <v>28</v>
      </c>
      <c r="D91" s="90">
        <f t="shared" si="1"/>
        <v>7405053.6600605231</v>
      </c>
      <c r="E91" s="88">
        <f t="shared" si="2"/>
        <v>4253274.3851585276</v>
      </c>
      <c r="F91" s="88">
        <f t="shared" si="3"/>
        <v>1888982.0713845377</v>
      </c>
      <c r="G91" s="91" t="str">
        <f t="shared" si="4"/>
        <v>inf/ref2</v>
      </c>
      <c r="H91" s="1"/>
      <c r="I91" s="23"/>
    </row>
    <row r="92" spans="2:9">
      <c r="B92" s="86">
        <f t="shared" si="5"/>
        <v>2041</v>
      </c>
      <c r="C92" s="87">
        <f t="shared" si="5"/>
        <v>29</v>
      </c>
      <c r="D92" s="90">
        <f t="shared" si="1"/>
        <v>7405053.6600605231</v>
      </c>
      <c r="E92" s="88">
        <f t="shared" si="2"/>
        <v>4169876.8481946359</v>
      </c>
      <c r="F92" s="88">
        <f t="shared" si="3"/>
        <v>1799030.5441757503</v>
      </c>
      <c r="G92" s="91" t="str">
        <f t="shared" si="4"/>
        <v>inf/ref2</v>
      </c>
      <c r="H92" s="1"/>
      <c r="I92" s="23"/>
    </row>
    <row r="93" spans="2:9">
      <c r="B93" s="86">
        <f t="shared" si="5"/>
        <v>2042</v>
      </c>
      <c r="C93" s="87">
        <f t="shared" si="5"/>
        <v>30</v>
      </c>
      <c r="D93" s="90">
        <f t="shared" si="1"/>
        <v>7405053.6600605231</v>
      </c>
      <c r="E93" s="88">
        <f t="shared" si="2"/>
        <v>4088114.5570535641</v>
      </c>
      <c r="F93" s="88">
        <f t="shared" si="3"/>
        <v>1713362.4230245238</v>
      </c>
      <c r="G93" s="91" t="str">
        <f t="shared" si="4"/>
        <v>inf/ref2</v>
      </c>
      <c r="H93" s="1"/>
      <c r="I93" s="23"/>
    </row>
    <row r="94" spans="2:9">
      <c r="B94" s="86">
        <f t="shared" si="5"/>
        <v>2043</v>
      </c>
      <c r="C94" s="87">
        <f t="shared" si="5"/>
        <v>31</v>
      </c>
      <c r="D94" s="90">
        <f t="shared" si="1"/>
        <v>7638787.2001833273</v>
      </c>
      <c r="E94" s="88">
        <f t="shared" si="2"/>
        <v>4134462.7846407681</v>
      </c>
      <c r="F94" s="88">
        <f t="shared" si="3"/>
        <v>1683279.1363842287</v>
      </c>
      <c r="G94" s="91" t="str">
        <f t="shared" si="4"/>
        <v>inf/ref3</v>
      </c>
      <c r="H94" s="1"/>
      <c r="I94" s="23"/>
    </row>
    <row r="95" spans="2:9">
      <c r="B95" s="86">
        <f t="shared" si="5"/>
        <v>2044</v>
      </c>
      <c r="C95" s="87">
        <f t="shared" si="5"/>
        <v>32</v>
      </c>
      <c r="D95" s="90">
        <f t="shared" si="1"/>
        <v>7638787.2001833273</v>
      </c>
      <c r="E95" s="88">
        <f t="shared" si="2"/>
        <v>4053394.8869027132</v>
      </c>
      <c r="F95" s="88">
        <f t="shared" si="3"/>
        <v>1603122.9870325984</v>
      </c>
      <c r="G95" s="91" t="str">
        <f t="shared" si="4"/>
        <v>inf/ref3</v>
      </c>
      <c r="H95" s="1"/>
      <c r="I95" s="23"/>
    </row>
    <row r="96" spans="2:9">
      <c r="B96" s="86">
        <f t="shared" ref="B96:C103" si="6">B95+1</f>
        <v>2045</v>
      </c>
      <c r="C96" s="87">
        <f t="shared" si="6"/>
        <v>33</v>
      </c>
      <c r="D96" s="90">
        <f>IF(G96="inf/ref1/ref2/ref3",(((($C$8*(1-$C$27)*$C$29)/$C$30)*$C$10)+((($C$35*(1-$C$36)*$C$38)/$C$39)*$C$10)+((($C$44*(1-$C$45)*$C$47)/$C$48)*$C$10)+((($C$53*(1-$C$54)*$C$56)/$C$57)*$C$10)), IF(G96="inf/ref1/ref2",(((($C$8*(1-$C$27)*$C$29)/$C$30)*$C$10)+((($C$35*(1-$C$36)*$C$38)/$C$39)*$C$10)+((($C$44*(1-$C$45)*$C$47)/$C$48)*$C$10)), IF(G96="inf/ref1/ref3",(((($C$8*(1-$C$27)*$C$29)/$C$30)*$C$10)+((($C$35*(1-$C$36)*$C$38)/$C$39)*$C$10)+ ((($C$53*(1-$C$54)*$C$56)/$C$57)*$C$10)),IF(G96="inf/ref2/ref3",(((($C$8*(1-$C$27)*$C$29)/$C$30)*$C$10)+ ((($C$44*(1-$C$45)*$C$47)/$C$48)*$C$10)+((($C$53*(1-$C$54)*$C$56)/$C$57)*$C$10)), IF(G96="inf/ref1",(((($C$8*(1-$C$27)*$C$29)/$C$30)*$C$10)+((($C$35*(1-$C$36)*$C$38)/$C$39)*$C$10)), IF(G96="inf/ref2",(((($C$8*(1-$C$27)*$C$29)/$C$30)*$C$10)+((($C$44*(1-$C$45)*$C$47)/$C$48)*$C$10)), IF(G96="inf/ref3", (((($C$8*(1-$C$27)*$C$29)/$C$30)*$C$10)+((($C$53*(1-$C$54)*$C$56)/$C$57)*$C$10)), ((($C$8*(1-$C$27)*$C$29)/$C$30)*$C$10))))))))</f>
        <v>7638787.2001833273</v>
      </c>
      <c r="E96" s="88">
        <f t="shared" si="2"/>
        <v>3973916.5557869733</v>
      </c>
      <c r="F96" s="88">
        <f t="shared" si="3"/>
        <v>1526783.7971739029</v>
      </c>
      <c r="G96" s="91" t="str">
        <f t="shared" si="4"/>
        <v>inf/ref3</v>
      </c>
      <c r="H96" s="1"/>
      <c r="I96" s="23"/>
    </row>
    <row r="97" spans="2:9">
      <c r="B97" s="86">
        <f t="shared" si="6"/>
        <v>2046</v>
      </c>
      <c r="C97" s="87">
        <f t="shared" si="6"/>
        <v>34</v>
      </c>
      <c r="D97" s="90">
        <f t="shared" si="1"/>
        <v>7638787.2001833273</v>
      </c>
      <c r="E97" s="88">
        <f t="shared" si="2"/>
        <v>3895996.6233205623</v>
      </c>
      <c r="F97" s="88">
        <f t="shared" si="3"/>
        <v>1454079.8068322884</v>
      </c>
      <c r="G97" s="91" t="str">
        <f t="shared" si="4"/>
        <v>inf/ref3</v>
      </c>
      <c r="H97" s="1"/>
      <c r="I97" s="23"/>
    </row>
    <row r="98" spans="2:9">
      <c r="B98" s="86">
        <f t="shared" si="6"/>
        <v>2047</v>
      </c>
      <c r="C98" s="87">
        <f t="shared" si="6"/>
        <v>35</v>
      </c>
      <c r="D98" s="90">
        <f>IF(G98="inf/ref1/ref2/ref3",(((($C$8*(1-$C$27)*$C$29)/$C$30)*$C$10)+((($C$35*(1-$C$36)*$C$38)/$C$39)*$C$10)+((($C$44*(1-$C$45)*$C$47)/$C$48)*$C$10)+((($C$53*(1-$C$54)*$C$56)/$C$57)*$C$10)), IF(G98="inf/ref1/ref2",(((($C$8*(1-$C$27)*$C$29)/$C$30)*$C$10)+((($C$35*(1-$C$36)*$C$38)/$C$39)*$C$10)+((($C$44*(1-$C$45)*$C$47)/$C$48)*$C$10)), IF(G98="inf/ref1/ref3",(((($C$8*(1-$C$27)*$C$29)/$C$30)*$C$10)+((($C$35*(1-$C$36)*$C$38)/$C$39)*$C$10)+ ((($C$53*(1-$C$54)*$C$56)/$C$57)*$C$10)),IF(G98="inf/ref2/ref3",(((($C$8*(1-$C$27)*$C$29)/$C$30)*$C$10)+ ((($C$44*(1-$C$45)*$C$47)/$C$48)*$C$10)+((($C$53*(1-$C$54)*$C$56)/$C$57)*$C$10)), IF(G98="inf/ref1",(((($C$8*(1-$C$27)*$C$29)/$C$30)*$C$10)+((($C$35*(1-$C$36)*$C$38)/$C$39)*$C$10)), IF(G98="inf/ref2",(((($C$8*(1-$C$27)*$C$29)/$C$30)*$C$10)+((($C$44*(1-$C$45)*$C$47)/$C$48)*$C$10)), IF(G98="inf/ref3", (((($C$8*(1-$C$27)*$C$29)/$C$30)*$C$10)+((($C$53*(1-$C$54)*$C$56)/$C$57)*$C$10)), ((($C$8*(1-$C$27)*$C$29)/$C$30)*$C$10))))))))</f>
        <v>7638787.2001833273</v>
      </c>
      <c r="E98" s="88">
        <f t="shared" si="2"/>
        <v>3819604.5326672182</v>
      </c>
      <c r="F98" s="88">
        <f t="shared" si="3"/>
        <v>1384837.9112688461</v>
      </c>
      <c r="G98" s="91" t="str">
        <f t="shared" si="4"/>
        <v>inf/ref3</v>
      </c>
      <c r="H98" s="1"/>
      <c r="I98" s="23"/>
    </row>
    <row r="99" spans="2:9">
      <c r="B99" s="86">
        <f t="shared" si="6"/>
        <v>2048</v>
      </c>
      <c r="C99" s="87">
        <f t="shared" si="6"/>
        <v>36</v>
      </c>
      <c r="D99" s="90">
        <f t="shared" si="1"/>
        <v>7638787.2001833273</v>
      </c>
      <c r="E99" s="88">
        <f t="shared" si="2"/>
        <v>3744710.3261443316</v>
      </c>
      <c r="F99" s="88">
        <f t="shared" si="3"/>
        <v>1318893.2488274723</v>
      </c>
      <c r="G99" s="91" t="str">
        <f t="shared" si="4"/>
        <v>inf/ref3</v>
      </c>
      <c r="H99" s="1"/>
      <c r="I99" s="23"/>
    </row>
    <row r="100" spans="2:9">
      <c r="B100" s="86">
        <f t="shared" si="6"/>
        <v>2049</v>
      </c>
      <c r="C100" s="87">
        <f t="shared" si="6"/>
        <v>37</v>
      </c>
      <c r="D100" s="90">
        <f t="shared" si="1"/>
        <v>7638787.2001833273</v>
      </c>
      <c r="E100" s="88">
        <f t="shared" si="2"/>
        <v>3671284.6334748347</v>
      </c>
      <c r="F100" s="88">
        <f t="shared" si="3"/>
        <v>1256088.8084071164</v>
      </c>
      <c r="G100" s="91" t="str">
        <f t="shared" si="4"/>
        <v>inf/ref3</v>
      </c>
      <c r="H100" s="1"/>
      <c r="I100" s="23"/>
    </row>
    <row r="101" spans="2:9">
      <c r="B101" s="86">
        <f t="shared" si="6"/>
        <v>2050</v>
      </c>
      <c r="C101" s="87">
        <f t="shared" si="6"/>
        <v>38</v>
      </c>
      <c r="D101" s="90">
        <f t="shared" si="1"/>
        <v>7638787.2001833273</v>
      </c>
      <c r="E101" s="88">
        <f t="shared" si="2"/>
        <v>3599298.6602694453</v>
      </c>
      <c r="F101" s="88">
        <f t="shared" si="3"/>
        <v>1196275.055625825</v>
      </c>
      <c r="G101" s="91" t="str">
        <f t="shared" si="4"/>
        <v>inf/ref3</v>
      </c>
      <c r="H101" s="1"/>
      <c r="I101" s="23"/>
    </row>
    <row r="102" spans="2:9">
      <c r="B102" s="86">
        <f t="shared" si="6"/>
        <v>2051</v>
      </c>
      <c r="C102" s="87">
        <f t="shared" si="6"/>
        <v>39</v>
      </c>
      <c r="D102" s="90">
        <f t="shared" si="1"/>
        <v>7638787.2001833273</v>
      </c>
      <c r="E102" s="88">
        <f t="shared" si="2"/>
        <v>3528724.1767347516</v>
      </c>
      <c r="F102" s="88">
        <f t="shared" si="3"/>
        <v>1139309.5767865002</v>
      </c>
      <c r="G102" s="91" t="str">
        <f t="shared" si="4"/>
        <v>inf/ref3</v>
      </c>
      <c r="H102" s="1"/>
      <c r="I102" s="23"/>
    </row>
    <row r="103" spans="2:9" ht="15.75" thickBot="1">
      <c r="B103" s="51">
        <f t="shared" si="6"/>
        <v>2052</v>
      </c>
      <c r="C103" s="92">
        <f t="shared" si="6"/>
        <v>40</v>
      </c>
      <c r="D103" s="93">
        <f t="shared" si="1"/>
        <v>7638787.2001833273</v>
      </c>
      <c r="E103" s="94">
        <f t="shared" si="2"/>
        <v>3459533.5066026966</v>
      </c>
      <c r="F103" s="94">
        <f t="shared" si="3"/>
        <v>1085056.7397966664</v>
      </c>
      <c r="G103" s="95" t="str">
        <f t="shared" si="4"/>
        <v>inf/ref3</v>
      </c>
      <c r="H103" s="1"/>
      <c r="I103" s="23"/>
    </row>
  </sheetData>
  <sheetProtection password="C907" sheet="1" objects="1" scenarios="1"/>
  <mergeCells count="22">
    <mergeCell ref="A3:F5"/>
    <mergeCell ref="E14:H22"/>
    <mergeCell ref="E7:H7"/>
    <mergeCell ref="E27:H27"/>
    <mergeCell ref="E28:H28"/>
    <mergeCell ref="E8:H8"/>
    <mergeCell ref="B59:G59"/>
    <mergeCell ref="E37:H37"/>
    <mergeCell ref="E38:H38"/>
    <mergeCell ref="E9:H9"/>
    <mergeCell ref="E30:H30"/>
    <mergeCell ref="E35:H35"/>
    <mergeCell ref="E44:H44"/>
    <mergeCell ref="E46:H46"/>
    <mergeCell ref="E47:H47"/>
    <mergeCell ref="E48:H48"/>
    <mergeCell ref="E53:H53"/>
    <mergeCell ref="E55:H55"/>
    <mergeCell ref="E56:H56"/>
    <mergeCell ref="E57:H57"/>
    <mergeCell ref="E39:H40"/>
    <mergeCell ref="E29:H29"/>
  </mergeCells>
  <pageMargins left="0.70866141732283472" right="0.70866141732283472" top="0.74803149606299213" bottom="0.74803149606299213" header="0.31496062992125984" footer="0.31496062992125984"/>
  <pageSetup paperSize="9" scale="51" fitToHeight="3" orientation="portrait" r:id="rId1"/>
  <rowBreaks count="1" manualBreakCount="1">
    <brk id="58" max="16383" man="1"/>
  </rowBreaks>
  <ignoredErrors>
    <ignoredError sqref="C38" unlockedFormula="1"/>
  </ignoredErrors>
</worksheet>
</file>

<file path=xl/worksheets/sheet4.xml><?xml version="1.0" encoding="utf-8"?>
<worksheet xmlns="http://schemas.openxmlformats.org/spreadsheetml/2006/main" xmlns:r="http://schemas.openxmlformats.org/officeDocument/2006/relationships">
  <sheetPr>
    <pageSetUpPr fitToPage="1"/>
  </sheetPr>
  <dimension ref="A1:K74"/>
  <sheetViews>
    <sheetView topLeftCell="A7" zoomScaleNormal="100" workbookViewId="0">
      <selection activeCell="D15" sqref="D15"/>
    </sheetView>
  </sheetViews>
  <sheetFormatPr defaultRowHeight="15"/>
  <cols>
    <col min="1" max="1" width="46.140625" customWidth="1"/>
    <col min="2" max="2" width="12" style="26" customWidth="1"/>
    <col min="3" max="3" width="17.42578125" bestFit="1" customWidth="1"/>
    <col min="4" max="4" width="16.28515625" customWidth="1"/>
    <col min="5" max="5" width="18" customWidth="1"/>
    <col min="6" max="6" width="21" customWidth="1"/>
    <col min="7" max="7" width="22" customWidth="1"/>
    <col min="8" max="8" width="19" customWidth="1"/>
    <col min="9" max="9" width="21.5703125" customWidth="1"/>
  </cols>
  <sheetData>
    <row r="1" spans="1:11" ht="18">
      <c r="A1" s="38" t="s">
        <v>226</v>
      </c>
      <c r="E1" s="37" t="s">
        <v>50</v>
      </c>
    </row>
    <row r="2" spans="1:11">
      <c r="A2" s="38"/>
      <c r="B2" s="140"/>
      <c r="E2" s="37"/>
    </row>
    <row r="3" spans="1:11">
      <c r="A3" s="292" t="s">
        <v>269</v>
      </c>
      <c r="B3" s="293"/>
      <c r="C3" s="293"/>
      <c r="D3" s="293"/>
      <c r="E3" s="293"/>
      <c r="F3" s="294"/>
    </row>
    <row r="4" spans="1:11">
      <c r="A4" s="295"/>
      <c r="B4" s="296"/>
      <c r="C4" s="296"/>
      <c r="D4" s="296"/>
      <c r="E4" s="296"/>
      <c r="F4" s="297"/>
    </row>
    <row r="5" spans="1:11">
      <c r="A5" s="298"/>
      <c r="B5" s="299"/>
      <c r="C5" s="299"/>
      <c r="D5" s="299"/>
      <c r="E5" s="299"/>
      <c r="F5" s="300"/>
    </row>
    <row r="7" spans="1:11">
      <c r="A7" s="25" t="s">
        <v>35</v>
      </c>
      <c r="B7" s="25" t="s">
        <v>24</v>
      </c>
      <c r="E7" s="289" t="s">
        <v>22</v>
      </c>
      <c r="F7" s="290"/>
      <c r="G7" s="290"/>
      <c r="H7" s="291"/>
      <c r="I7" s="18"/>
      <c r="J7" s="18"/>
      <c r="K7" s="18"/>
    </row>
    <row r="8" spans="1:11">
      <c r="A8" s="108" t="s">
        <v>162</v>
      </c>
      <c r="B8" s="11"/>
      <c r="C8" s="109">
        <f>'Input Information'!G37</f>
        <v>17000000</v>
      </c>
      <c r="E8" s="262" t="str">
        <f>"Sum of subcosts listed below, provided on an annual basis in "&amp;B33&amp;" currency"</f>
        <v>Sum of subcosts listed below, provided on an annual basis in 2012 currency</v>
      </c>
      <c r="F8" s="304"/>
      <c r="G8" s="304"/>
      <c r="H8" s="305"/>
      <c r="I8" s="32"/>
      <c r="J8" s="32"/>
      <c r="K8" s="32"/>
    </row>
    <row r="9" spans="1:11">
      <c r="A9" t="s">
        <v>8</v>
      </c>
      <c r="B9" s="11"/>
      <c r="C9" s="52">
        <f>'Input Information'!G38</f>
        <v>15000000</v>
      </c>
      <c r="E9" s="306" t="s">
        <v>287</v>
      </c>
      <c r="F9" s="307"/>
      <c r="G9" s="307"/>
      <c r="H9" s="308"/>
      <c r="I9" s="32"/>
      <c r="J9" s="32"/>
      <c r="K9" s="32"/>
    </row>
    <row r="10" spans="1:11">
      <c r="A10" t="s">
        <v>9</v>
      </c>
      <c r="B10" s="11"/>
      <c r="C10" s="52">
        <f>'Input Information'!G39</f>
        <v>2000000</v>
      </c>
      <c r="E10" s="309"/>
      <c r="F10" s="310"/>
      <c r="G10" s="310"/>
      <c r="H10" s="311"/>
      <c r="I10" s="32"/>
      <c r="J10" s="32"/>
      <c r="K10" s="32"/>
    </row>
    <row r="11" spans="1:11" ht="30" customHeight="1">
      <c r="A11" s="13" t="s">
        <v>36</v>
      </c>
      <c r="B11" s="11"/>
      <c r="C11" s="53">
        <f>'Input Information'!G17</f>
        <v>40</v>
      </c>
      <c r="D11" s="13" t="s">
        <v>37</v>
      </c>
      <c r="E11" s="262" t="s">
        <v>232</v>
      </c>
      <c r="F11" s="263"/>
      <c r="G11" s="263"/>
      <c r="H11" s="264"/>
    </row>
    <row r="12" spans="1:11">
      <c r="A12" s="43" t="s">
        <v>122</v>
      </c>
      <c r="B12" s="41" t="s">
        <v>118</v>
      </c>
      <c r="C12" s="53">
        <f>'Input Information'!G34</f>
        <v>1</v>
      </c>
    </row>
    <row r="13" spans="1:11">
      <c r="A13" s="43" t="s">
        <v>121</v>
      </c>
      <c r="B13" s="41" t="s">
        <v>119</v>
      </c>
      <c r="C13" s="54">
        <f>'Input Information'!F80</f>
        <v>0.05</v>
      </c>
    </row>
    <row r="14" spans="1:11">
      <c r="A14" s="43" t="s">
        <v>40</v>
      </c>
      <c r="B14" s="41" t="s">
        <v>120</v>
      </c>
      <c r="C14" s="54">
        <f>'Input Information'!F81</f>
        <v>0.02</v>
      </c>
      <c r="E14" s="13"/>
    </row>
    <row r="15" spans="1:11">
      <c r="A15" t="s">
        <v>39</v>
      </c>
      <c r="B15" s="11"/>
      <c r="C15" s="57">
        <f>'Input Information'!F82</f>
        <v>2.941176470588247E-2</v>
      </c>
    </row>
    <row r="16" spans="1:11">
      <c r="B16" s="11"/>
      <c r="E16" s="13"/>
      <c r="F16" s="13"/>
      <c r="G16" s="13"/>
      <c r="H16" s="13"/>
      <c r="I16" s="13"/>
      <c r="J16" s="13"/>
      <c r="K16" s="13"/>
    </row>
    <row r="17" spans="1:11">
      <c r="A17" s="10" t="s">
        <v>23</v>
      </c>
      <c r="B17" s="11"/>
      <c r="E17" s="13"/>
      <c r="F17" s="13"/>
      <c r="G17" s="13"/>
      <c r="H17" s="13"/>
      <c r="I17" s="13"/>
      <c r="J17" s="13"/>
      <c r="K17" s="13"/>
    </row>
    <row r="18" spans="1:11">
      <c r="A18" s="10"/>
      <c r="B18" s="11"/>
      <c r="E18" s="13"/>
      <c r="F18" s="13"/>
      <c r="G18" s="13"/>
      <c r="H18" s="13"/>
      <c r="I18" s="13"/>
      <c r="J18" s="13"/>
      <c r="K18" s="13"/>
    </row>
    <row r="19" spans="1:11" ht="30">
      <c r="A19" s="28" t="s">
        <v>52</v>
      </c>
      <c r="B19" s="12"/>
      <c r="C19" s="122">
        <v>100</v>
      </c>
      <c r="D19" s="4"/>
      <c r="E19" s="262" t="s">
        <v>56</v>
      </c>
      <c r="F19" s="263"/>
      <c r="G19" s="263"/>
      <c r="H19" s="264"/>
      <c r="I19" s="13"/>
      <c r="J19" s="13"/>
      <c r="K19" s="13"/>
    </row>
    <row r="20" spans="1:11" ht="45">
      <c r="A20" s="28" t="s">
        <v>55</v>
      </c>
      <c r="B20" s="12" t="s">
        <v>53</v>
      </c>
      <c r="C20" s="123">
        <v>50</v>
      </c>
      <c r="D20" s="4"/>
      <c r="E20" s="262" t="s">
        <v>177</v>
      </c>
      <c r="F20" s="263"/>
      <c r="G20" s="263"/>
      <c r="H20" s="264"/>
      <c r="I20" s="13"/>
      <c r="J20" s="13"/>
      <c r="K20" s="13"/>
    </row>
    <row r="21" spans="1:11" ht="47.25">
      <c r="A21" s="28" t="s">
        <v>71</v>
      </c>
      <c r="B21" s="12" t="s">
        <v>54</v>
      </c>
      <c r="C21" s="124">
        <v>10</v>
      </c>
      <c r="E21" s="262" t="s">
        <v>178</v>
      </c>
      <c r="F21" s="263"/>
      <c r="G21" s="263"/>
      <c r="H21" s="264"/>
      <c r="I21" s="17"/>
      <c r="J21" s="17"/>
      <c r="K21" s="17"/>
    </row>
    <row r="22" spans="1:11" ht="18">
      <c r="A22" s="4" t="s">
        <v>241</v>
      </c>
      <c r="B22" s="11" t="s">
        <v>57</v>
      </c>
      <c r="C22" s="53">
        <f>C21/C20</f>
        <v>0.2</v>
      </c>
      <c r="E22" s="262" t="s">
        <v>129</v>
      </c>
      <c r="F22" s="263"/>
      <c r="G22" s="263"/>
      <c r="H22" s="264"/>
      <c r="I22" s="16"/>
      <c r="J22" s="16"/>
      <c r="K22" s="16"/>
    </row>
    <row r="23" spans="1:11" ht="30.75" customHeight="1">
      <c r="A23" s="4" t="s">
        <v>244</v>
      </c>
      <c r="B23" s="11"/>
      <c r="C23" s="125">
        <v>0</v>
      </c>
      <c r="E23" s="262" t="s">
        <v>147</v>
      </c>
      <c r="F23" s="263"/>
      <c r="G23" s="263"/>
      <c r="H23" s="264"/>
      <c r="I23" s="16"/>
      <c r="J23" s="16"/>
      <c r="K23" s="16"/>
    </row>
    <row r="24" spans="1:11" ht="65.25" customHeight="1">
      <c r="A24" s="4" t="s">
        <v>245</v>
      </c>
      <c r="B24" s="11" t="s">
        <v>72</v>
      </c>
      <c r="C24" s="125">
        <v>5000000</v>
      </c>
      <c r="E24" s="262" t="s">
        <v>248</v>
      </c>
      <c r="F24" s="263"/>
      <c r="G24" s="263"/>
      <c r="H24" s="264"/>
      <c r="I24" s="16"/>
      <c r="J24" s="16"/>
      <c r="K24" s="16"/>
    </row>
    <row r="25" spans="1:11" ht="64.5" customHeight="1">
      <c r="A25" s="4" t="s">
        <v>246</v>
      </c>
      <c r="B25" s="11" t="s">
        <v>29</v>
      </c>
      <c r="C25" s="125">
        <v>1000000</v>
      </c>
      <c r="E25" s="262" t="s">
        <v>247</v>
      </c>
      <c r="F25" s="263"/>
      <c r="G25" s="263"/>
      <c r="H25" s="264"/>
      <c r="I25" s="16"/>
      <c r="J25" s="16"/>
      <c r="K25" s="16"/>
    </row>
    <row r="26" spans="1:11" ht="30">
      <c r="A26" s="4" t="s">
        <v>243</v>
      </c>
      <c r="B26" s="11" t="s">
        <v>49</v>
      </c>
      <c r="C26" s="52">
        <f>C8-C24-C25-C23</f>
        <v>11000000</v>
      </c>
      <c r="E26" s="16"/>
      <c r="F26" s="16"/>
      <c r="G26" s="16"/>
      <c r="H26" s="16"/>
      <c r="I26" s="16"/>
      <c r="J26" s="16"/>
      <c r="K26" s="16"/>
    </row>
    <row r="27" spans="1:11" ht="18">
      <c r="A27" s="4" t="s">
        <v>242</v>
      </c>
      <c r="B27" s="11" t="s">
        <v>59</v>
      </c>
      <c r="C27" s="58">
        <f>'C-Operational'!C32</f>
        <v>0.33544303797468356</v>
      </c>
      <c r="E27" s="262" t="s">
        <v>90</v>
      </c>
      <c r="F27" s="263"/>
      <c r="G27" s="263"/>
      <c r="H27" s="264"/>
      <c r="I27" s="5"/>
    </row>
    <row r="28" spans="1:11" ht="15.75" thickBot="1">
      <c r="A28" s="4"/>
      <c r="B28" s="11"/>
    </row>
    <row r="29" spans="1:11" ht="15" customHeight="1">
      <c r="B29" s="301" t="s">
        <v>156</v>
      </c>
      <c r="C29" s="302"/>
      <c r="D29" s="302"/>
      <c r="E29" s="302"/>
      <c r="F29" s="303"/>
      <c r="G29" s="39"/>
      <c r="H29" s="39"/>
      <c r="I29" s="24"/>
    </row>
    <row r="30" spans="1:11">
      <c r="B30" s="78" t="s">
        <v>68</v>
      </c>
      <c r="C30" s="79" t="s">
        <v>0</v>
      </c>
      <c r="D30" s="79" t="str">
        <f>"Costs ("&amp;B33&amp;" €)"</f>
        <v>Costs (2012 €)</v>
      </c>
      <c r="E30" s="79" t="s">
        <v>65</v>
      </c>
      <c r="F30" s="80" t="s">
        <v>43</v>
      </c>
      <c r="G30" s="27"/>
      <c r="H30" s="27"/>
    </row>
    <row r="31" spans="1:11">
      <c r="B31" s="78" t="s">
        <v>3</v>
      </c>
      <c r="C31" s="79"/>
      <c r="D31" s="81">
        <f>SUM(D34:D73)</f>
        <v>29518987.341772165</v>
      </c>
      <c r="E31" s="81">
        <f>SUM(E34:E73)</f>
        <v>17221491.58710818</v>
      </c>
      <c r="F31" s="82"/>
      <c r="G31" s="22"/>
      <c r="H31" s="22"/>
    </row>
    <row r="32" spans="1:11">
      <c r="B32" s="83"/>
      <c r="C32" s="84"/>
      <c r="D32" s="84"/>
      <c r="E32" s="84"/>
      <c r="F32" s="85"/>
      <c r="G32" s="27"/>
      <c r="H32" s="27"/>
    </row>
    <row r="33" spans="2:8">
      <c r="B33" s="86">
        <f>'Input Information'!G18</f>
        <v>2012</v>
      </c>
      <c r="C33" s="87">
        <v>0</v>
      </c>
      <c r="D33" s="88"/>
      <c r="E33" s="88"/>
      <c r="F33" s="89"/>
      <c r="G33" s="1"/>
      <c r="H33" s="1"/>
    </row>
    <row r="34" spans="2:8">
      <c r="B34" s="86">
        <f t="shared" ref="B34:C49" si="0">B33+1</f>
        <v>2013</v>
      </c>
      <c r="C34" s="87">
        <f t="shared" si="0"/>
        <v>1</v>
      </c>
      <c r="D34" s="88">
        <f>$C$26*$C$22*$C$27</f>
        <v>737974.68354430387</v>
      </c>
      <c r="E34" s="88">
        <f t="shared" ref="E34:E73" si="1">D34/((1+$C$15)^(C34))</f>
        <v>716889.69258589507</v>
      </c>
      <c r="F34" s="89"/>
      <c r="G34" s="1"/>
      <c r="H34" s="23"/>
    </row>
    <row r="35" spans="2:8">
      <c r="B35" s="86">
        <f t="shared" si="0"/>
        <v>2014</v>
      </c>
      <c r="C35" s="87">
        <f t="shared" si="0"/>
        <v>2</v>
      </c>
      <c r="D35" s="88">
        <f t="shared" ref="D35:D73" si="2">$C$26*$C$22*$C$27</f>
        <v>737974.68354430387</v>
      </c>
      <c r="E35" s="88">
        <f t="shared" si="1"/>
        <v>696407.12994058372</v>
      </c>
      <c r="F35" s="89"/>
      <c r="G35" s="1"/>
      <c r="H35" s="23"/>
    </row>
    <row r="36" spans="2:8">
      <c r="B36" s="86">
        <f t="shared" si="0"/>
        <v>2015</v>
      </c>
      <c r="C36" s="87">
        <f t="shared" si="0"/>
        <v>3</v>
      </c>
      <c r="D36" s="88">
        <f t="shared" si="2"/>
        <v>737974.68354430387</v>
      </c>
      <c r="E36" s="88">
        <f t="shared" si="1"/>
        <v>676509.7833708527</v>
      </c>
      <c r="F36" s="89"/>
      <c r="G36" s="1"/>
      <c r="H36" s="23"/>
    </row>
    <row r="37" spans="2:8">
      <c r="B37" s="86">
        <f t="shared" si="0"/>
        <v>2016</v>
      </c>
      <c r="C37" s="87">
        <f t="shared" si="0"/>
        <v>4</v>
      </c>
      <c r="D37" s="88">
        <f t="shared" si="2"/>
        <v>737974.68354430387</v>
      </c>
      <c r="E37" s="88">
        <f t="shared" si="1"/>
        <v>657180.93241739972</v>
      </c>
      <c r="F37" s="89"/>
      <c r="G37" s="1"/>
      <c r="H37" s="23"/>
    </row>
    <row r="38" spans="2:8">
      <c r="B38" s="86">
        <f t="shared" si="0"/>
        <v>2017</v>
      </c>
      <c r="C38" s="87">
        <f t="shared" si="0"/>
        <v>5</v>
      </c>
      <c r="D38" s="88">
        <f t="shared" si="2"/>
        <v>737974.68354430387</v>
      </c>
      <c r="E38" s="88">
        <f t="shared" si="1"/>
        <v>638404.33434833109</v>
      </c>
      <c r="F38" s="89"/>
      <c r="G38" s="1"/>
      <c r="H38" s="23"/>
    </row>
    <row r="39" spans="2:8">
      <c r="B39" s="86">
        <f t="shared" si="0"/>
        <v>2018</v>
      </c>
      <c r="C39" s="87">
        <f t="shared" si="0"/>
        <v>6</v>
      </c>
      <c r="D39" s="88">
        <f t="shared" si="2"/>
        <v>737974.68354430387</v>
      </c>
      <c r="E39" s="88">
        <f t="shared" si="1"/>
        <v>620164.21050980734</v>
      </c>
      <c r="F39" s="89"/>
      <c r="G39" s="1"/>
      <c r="H39" s="23"/>
    </row>
    <row r="40" spans="2:8">
      <c r="B40" s="86">
        <f t="shared" si="0"/>
        <v>2019</v>
      </c>
      <c r="C40" s="87">
        <f t="shared" si="0"/>
        <v>7</v>
      </c>
      <c r="D40" s="88">
        <f t="shared" si="2"/>
        <v>737974.68354430387</v>
      </c>
      <c r="E40" s="88">
        <f t="shared" si="1"/>
        <v>602445.2330666699</v>
      </c>
      <c r="F40" s="89"/>
      <c r="G40" s="1"/>
      <c r="H40" s="23"/>
    </row>
    <row r="41" spans="2:8">
      <c r="B41" s="86">
        <f t="shared" si="0"/>
        <v>2020</v>
      </c>
      <c r="C41" s="87">
        <f t="shared" si="0"/>
        <v>8</v>
      </c>
      <c r="D41" s="88">
        <f t="shared" si="2"/>
        <v>737974.68354430387</v>
      </c>
      <c r="E41" s="88">
        <f t="shared" si="1"/>
        <v>585232.5121219079</v>
      </c>
      <c r="F41" s="89"/>
      <c r="G41" s="1"/>
      <c r="H41" s="23"/>
    </row>
    <row r="42" spans="2:8">
      <c r="B42" s="86">
        <f t="shared" si="0"/>
        <v>2021</v>
      </c>
      <c r="C42" s="87">
        <f t="shared" si="0"/>
        <v>9</v>
      </c>
      <c r="D42" s="88">
        <f t="shared" si="2"/>
        <v>737974.68354430387</v>
      </c>
      <c r="E42" s="88">
        <f t="shared" si="1"/>
        <v>568511.58320413902</v>
      </c>
      <c r="F42" s="89"/>
      <c r="G42" s="1"/>
      <c r="H42" s="23"/>
    </row>
    <row r="43" spans="2:8">
      <c r="B43" s="86">
        <f t="shared" si="0"/>
        <v>2022</v>
      </c>
      <c r="C43" s="87">
        <f t="shared" si="0"/>
        <v>10</v>
      </c>
      <c r="D43" s="88">
        <f t="shared" si="2"/>
        <v>737974.68354430387</v>
      </c>
      <c r="E43" s="88">
        <f t="shared" si="1"/>
        <v>552268.39511259214</v>
      </c>
      <c r="F43" s="96"/>
      <c r="G43" s="1"/>
      <c r="H43" s="23"/>
    </row>
    <row r="44" spans="2:8">
      <c r="B44" s="86">
        <f t="shared" si="0"/>
        <v>2023</v>
      </c>
      <c r="C44" s="87">
        <f t="shared" si="0"/>
        <v>11</v>
      </c>
      <c r="D44" s="88">
        <f t="shared" si="2"/>
        <v>737974.68354430387</v>
      </c>
      <c r="E44" s="88">
        <f t="shared" si="1"/>
        <v>536489.29810937517</v>
      </c>
      <c r="F44" s="89"/>
      <c r="G44" s="1"/>
      <c r="H44" s="23"/>
    </row>
    <row r="45" spans="2:8">
      <c r="B45" s="86">
        <f t="shared" si="0"/>
        <v>2024</v>
      </c>
      <c r="C45" s="87">
        <f t="shared" si="0"/>
        <v>12</v>
      </c>
      <c r="D45" s="88">
        <f t="shared" si="2"/>
        <v>737974.68354430387</v>
      </c>
      <c r="E45" s="88">
        <f t="shared" si="1"/>
        <v>521161.03244910721</v>
      </c>
      <c r="F45" s="89"/>
      <c r="G45" s="1"/>
      <c r="H45" s="23"/>
    </row>
    <row r="46" spans="2:8">
      <c r="B46" s="86">
        <f t="shared" si="0"/>
        <v>2025</v>
      </c>
      <c r="C46" s="87">
        <f t="shared" si="0"/>
        <v>13</v>
      </c>
      <c r="D46" s="88">
        <f t="shared" si="2"/>
        <v>737974.68354430387</v>
      </c>
      <c r="E46" s="88">
        <f t="shared" si="1"/>
        <v>506270.71723627555</v>
      </c>
      <c r="F46" s="89"/>
      <c r="G46" s="1"/>
      <c r="H46" s="23"/>
    </row>
    <row r="47" spans="2:8">
      <c r="B47" s="86">
        <f t="shared" si="0"/>
        <v>2026</v>
      </c>
      <c r="C47" s="87">
        <f t="shared" si="0"/>
        <v>14</v>
      </c>
      <c r="D47" s="88">
        <f t="shared" si="2"/>
        <v>737974.68354430387</v>
      </c>
      <c r="E47" s="88">
        <f t="shared" si="1"/>
        <v>491805.83960095333</v>
      </c>
      <c r="F47" s="89"/>
      <c r="G47" s="1"/>
      <c r="H47" s="23"/>
    </row>
    <row r="48" spans="2:8">
      <c r="B48" s="86">
        <f t="shared" si="0"/>
        <v>2027</v>
      </c>
      <c r="C48" s="87">
        <f t="shared" si="0"/>
        <v>15</v>
      </c>
      <c r="D48" s="88">
        <f t="shared" si="2"/>
        <v>737974.68354430387</v>
      </c>
      <c r="E48" s="88">
        <f t="shared" si="1"/>
        <v>477754.24418378324</v>
      </c>
      <c r="F48" s="89"/>
      <c r="G48" s="1"/>
      <c r="H48" s="23"/>
    </row>
    <row r="49" spans="2:8">
      <c r="B49" s="86">
        <f t="shared" si="0"/>
        <v>2028</v>
      </c>
      <c r="C49" s="87">
        <f t="shared" si="0"/>
        <v>16</v>
      </c>
      <c r="D49" s="88">
        <f t="shared" si="2"/>
        <v>737974.68354430387</v>
      </c>
      <c r="E49" s="88">
        <f t="shared" si="1"/>
        <v>464104.12292138941</v>
      </c>
      <c r="F49" s="89"/>
      <c r="G49" s="1"/>
      <c r="H49" s="23"/>
    </row>
    <row r="50" spans="2:8">
      <c r="B50" s="86">
        <f t="shared" ref="B50:C65" si="3">B49+1</f>
        <v>2029</v>
      </c>
      <c r="C50" s="87">
        <f t="shared" si="3"/>
        <v>17</v>
      </c>
      <c r="D50" s="88">
        <f t="shared" si="2"/>
        <v>737974.68354430387</v>
      </c>
      <c r="E50" s="88">
        <f t="shared" si="1"/>
        <v>450844.00512363535</v>
      </c>
      <c r="F50" s="89"/>
      <c r="G50" s="1"/>
      <c r="H50" s="23"/>
    </row>
    <row r="51" spans="2:8">
      <c r="B51" s="86">
        <f t="shared" si="3"/>
        <v>2030</v>
      </c>
      <c r="C51" s="87">
        <f t="shared" si="3"/>
        <v>18</v>
      </c>
      <c r="D51" s="88">
        <f t="shared" si="2"/>
        <v>737974.68354430387</v>
      </c>
      <c r="E51" s="88">
        <f t="shared" si="1"/>
        <v>437962.74783438857</v>
      </c>
      <c r="F51" s="89"/>
      <c r="G51" s="1"/>
      <c r="H51" s="23"/>
    </row>
    <row r="52" spans="2:8">
      <c r="B52" s="86">
        <f t="shared" si="3"/>
        <v>2031</v>
      </c>
      <c r="C52" s="87">
        <f t="shared" si="3"/>
        <v>19</v>
      </c>
      <c r="D52" s="88">
        <f t="shared" si="2"/>
        <v>737974.68354430387</v>
      </c>
      <c r="E52" s="88">
        <f t="shared" si="1"/>
        <v>425449.52646769176</v>
      </c>
      <c r="F52" s="89"/>
      <c r="G52" s="1"/>
      <c r="H52" s="23"/>
    </row>
    <row r="53" spans="2:8">
      <c r="B53" s="86">
        <f t="shared" si="3"/>
        <v>2032</v>
      </c>
      <c r="C53" s="87">
        <f t="shared" si="3"/>
        <v>20</v>
      </c>
      <c r="D53" s="88">
        <f t="shared" si="2"/>
        <v>737974.68354430387</v>
      </c>
      <c r="E53" s="88">
        <f t="shared" si="1"/>
        <v>413293.82571147196</v>
      </c>
      <c r="F53" s="89"/>
      <c r="G53" s="1"/>
      <c r="H53" s="23"/>
    </row>
    <row r="54" spans="2:8">
      <c r="B54" s="86">
        <f t="shared" si="3"/>
        <v>2033</v>
      </c>
      <c r="C54" s="87">
        <f t="shared" si="3"/>
        <v>21</v>
      </c>
      <c r="D54" s="88">
        <f t="shared" si="2"/>
        <v>737974.68354430387</v>
      </c>
      <c r="E54" s="88">
        <f t="shared" si="1"/>
        <v>401485.43069114414</v>
      </c>
      <c r="F54" s="89"/>
      <c r="G54" s="1"/>
      <c r="H54" s="23"/>
    </row>
    <row r="55" spans="2:8">
      <c r="B55" s="86">
        <f t="shared" si="3"/>
        <v>2034</v>
      </c>
      <c r="C55" s="87">
        <f t="shared" si="3"/>
        <v>22</v>
      </c>
      <c r="D55" s="88">
        <f t="shared" si="2"/>
        <v>737974.68354430387</v>
      </c>
      <c r="E55" s="88">
        <f t="shared" si="1"/>
        <v>390014.41838568286</v>
      </c>
      <c r="F55" s="89"/>
      <c r="G55" s="1"/>
      <c r="H55" s="23"/>
    </row>
    <row r="56" spans="2:8">
      <c r="B56" s="86">
        <f t="shared" si="3"/>
        <v>2035</v>
      </c>
      <c r="C56" s="87">
        <f t="shared" si="3"/>
        <v>23</v>
      </c>
      <c r="D56" s="88">
        <f t="shared" si="2"/>
        <v>737974.68354430387</v>
      </c>
      <c r="E56" s="88">
        <f t="shared" si="1"/>
        <v>378871.14928894903</v>
      </c>
      <c r="F56" s="89"/>
      <c r="G56" s="1"/>
      <c r="H56" s="23"/>
    </row>
    <row r="57" spans="2:8">
      <c r="B57" s="86">
        <f t="shared" si="3"/>
        <v>2036</v>
      </c>
      <c r="C57" s="87">
        <f t="shared" si="3"/>
        <v>24</v>
      </c>
      <c r="D57" s="88">
        <f t="shared" si="2"/>
        <v>737974.68354430387</v>
      </c>
      <c r="E57" s="88">
        <f t="shared" si="1"/>
        <v>368046.25930926466</v>
      </c>
      <c r="F57" s="89"/>
      <c r="G57" s="1"/>
      <c r="H57" s="23"/>
    </row>
    <row r="58" spans="2:8">
      <c r="B58" s="86">
        <f t="shared" si="3"/>
        <v>2037</v>
      </c>
      <c r="C58" s="87">
        <f t="shared" si="3"/>
        <v>25</v>
      </c>
      <c r="D58" s="88">
        <f t="shared" si="2"/>
        <v>737974.68354430387</v>
      </c>
      <c r="E58" s="88">
        <f t="shared" si="1"/>
        <v>357530.65190042852</v>
      </c>
      <c r="F58" s="89"/>
      <c r="G58" s="1"/>
      <c r="H58" s="23"/>
    </row>
    <row r="59" spans="2:8">
      <c r="B59" s="86">
        <f t="shared" si="3"/>
        <v>2038</v>
      </c>
      <c r="C59" s="87">
        <f t="shared" si="3"/>
        <v>26</v>
      </c>
      <c r="D59" s="88">
        <f t="shared" si="2"/>
        <v>737974.68354430387</v>
      </c>
      <c r="E59" s="88">
        <f t="shared" si="1"/>
        <v>347315.49041755911</v>
      </c>
      <c r="F59" s="89"/>
      <c r="G59" s="1"/>
      <c r="H59" s="23"/>
    </row>
    <row r="60" spans="2:8">
      <c r="B60" s="86">
        <f t="shared" si="3"/>
        <v>2039</v>
      </c>
      <c r="C60" s="87">
        <f t="shared" si="3"/>
        <v>27</v>
      </c>
      <c r="D60" s="88">
        <f t="shared" si="2"/>
        <v>737974.68354430387</v>
      </c>
      <c r="E60" s="88">
        <f t="shared" si="1"/>
        <v>337392.1906913431</v>
      </c>
      <c r="F60" s="89"/>
      <c r="G60" s="1"/>
      <c r="H60" s="23"/>
    </row>
    <row r="61" spans="2:8">
      <c r="B61" s="86">
        <f t="shared" si="3"/>
        <v>2040</v>
      </c>
      <c r="C61" s="87">
        <f t="shared" si="3"/>
        <v>28</v>
      </c>
      <c r="D61" s="88">
        <f t="shared" si="2"/>
        <v>737974.68354430387</v>
      </c>
      <c r="E61" s="88">
        <f t="shared" si="1"/>
        <v>327752.41381444759</v>
      </c>
      <c r="F61" s="89"/>
      <c r="G61" s="1"/>
      <c r="H61" s="23"/>
    </row>
    <row r="62" spans="2:8">
      <c r="B62" s="86">
        <f t="shared" si="3"/>
        <v>2041</v>
      </c>
      <c r="C62" s="87">
        <f t="shared" si="3"/>
        <v>29</v>
      </c>
      <c r="D62" s="88">
        <f t="shared" si="2"/>
        <v>737974.68354430387</v>
      </c>
      <c r="E62" s="88">
        <f t="shared" si="1"/>
        <v>318388.05913403473</v>
      </c>
      <c r="F62" s="89"/>
      <c r="G62" s="1"/>
      <c r="H62" s="23"/>
    </row>
    <row r="63" spans="2:8">
      <c r="B63" s="86">
        <f t="shared" si="3"/>
        <v>2042</v>
      </c>
      <c r="C63" s="87">
        <f t="shared" si="3"/>
        <v>30</v>
      </c>
      <c r="D63" s="88">
        <f t="shared" si="2"/>
        <v>737974.68354430387</v>
      </c>
      <c r="E63" s="88">
        <f t="shared" si="1"/>
        <v>309291.25744449091</v>
      </c>
      <c r="F63" s="89"/>
      <c r="G63" s="1"/>
      <c r="H63" s="23"/>
    </row>
    <row r="64" spans="2:8">
      <c r="B64" s="86">
        <f t="shared" si="3"/>
        <v>2043</v>
      </c>
      <c r="C64" s="87">
        <f t="shared" si="3"/>
        <v>31</v>
      </c>
      <c r="D64" s="88">
        <f t="shared" si="2"/>
        <v>737974.68354430387</v>
      </c>
      <c r="E64" s="88">
        <f t="shared" si="1"/>
        <v>300454.36437464831</v>
      </c>
      <c r="F64" s="89"/>
      <c r="G64" s="1"/>
      <c r="H64" s="23"/>
    </row>
    <row r="65" spans="2:8">
      <c r="B65" s="86">
        <f t="shared" si="3"/>
        <v>2044</v>
      </c>
      <c r="C65" s="87">
        <f t="shared" si="3"/>
        <v>32</v>
      </c>
      <c r="D65" s="88">
        <f t="shared" si="2"/>
        <v>737974.68354430387</v>
      </c>
      <c r="E65" s="88">
        <f t="shared" si="1"/>
        <v>291869.95396394399</v>
      </c>
      <c r="F65" s="89"/>
      <c r="G65" s="1"/>
      <c r="H65" s="23"/>
    </row>
    <row r="66" spans="2:8">
      <c r="B66" s="86">
        <f t="shared" ref="B66:C73" si="4">B65+1</f>
        <v>2045</v>
      </c>
      <c r="C66" s="87">
        <f t="shared" si="4"/>
        <v>33</v>
      </c>
      <c r="D66" s="88">
        <f t="shared" si="2"/>
        <v>737974.68354430387</v>
      </c>
      <c r="E66" s="88">
        <f t="shared" si="1"/>
        <v>283530.81242211699</v>
      </c>
      <c r="F66" s="89"/>
      <c r="G66" s="1"/>
      <c r="H66" s="23"/>
    </row>
    <row r="67" spans="2:8">
      <c r="B67" s="86">
        <f t="shared" si="4"/>
        <v>2046</v>
      </c>
      <c r="C67" s="87">
        <f t="shared" si="4"/>
        <v>34</v>
      </c>
      <c r="D67" s="88">
        <f t="shared" si="2"/>
        <v>737974.68354430387</v>
      </c>
      <c r="E67" s="88">
        <f t="shared" si="1"/>
        <v>275429.93206719938</v>
      </c>
      <c r="F67" s="89"/>
      <c r="G67" s="1"/>
      <c r="H67" s="23"/>
    </row>
    <row r="68" spans="2:8">
      <c r="B68" s="86">
        <f t="shared" si="4"/>
        <v>2047</v>
      </c>
      <c r="C68" s="87">
        <f t="shared" si="4"/>
        <v>35</v>
      </c>
      <c r="D68" s="88">
        <f t="shared" si="2"/>
        <v>737974.68354430387</v>
      </c>
      <c r="E68" s="88">
        <f t="shared" si="1"/>
        <v>267560.50543670793</v>
      </c>
      <c r="F68" s="89"/>
      <c r="G68" s="1"/>
      <c r="H68" s="23"/>
    </row>
    <row r="69" spans="2:8">
      <c r="B69" s="86">
        <f t="shared" si="4"/>
        <v>2048</v>
      </c>
      <c r="C69" s="87">
        <f t="shared" si="4"/>
        <v>36</v>
      </c>
      <c r="D69" s="88">
        <f t="shared" si="2"/>
        <v>737974.68354430387</v>
      </c>
      <c r="E69" s="88">
        <f t="shared" si="1"/>
        <v>259915.91956708767</v>
      </c>
      <c r="F69" s="89"/>
      <c r="G69" s="1"/>
      <c r="H69" s="23"/>
    </row>
    <row r="70" spans="2:8">
      <c r="B70" s="86">
        <f t="shared" si="4"/>
        <v>2049</v>
      </c>
      <c r="C70" s="87">
        <f t="shared" si="4"/>
        <v>37</v>
      </c>
      <c r="D70" s="88">
        <f t="shared" si="2"/>
        <v>737974.68354430387</v>
      </c>
      <c r="E70" s="88">
        <f t="shared" si="1"/>
        <v>252489.75043659945</v>
      </c>
      <c r="F70" s="89"/>
      <c r="G70" s="1"/>
      <c r="H70" s="23"/>
    </row>
    <row r="71" spans="2:8">
      <c r="B71" s="86">
        <f t="shared" si="4"/>
        <v>2050</v>
      </c>
      <c r="C71" s="87">
        <f t="shared" si="4"/>
        <v>38</v>
      </c>
      <c r="D71" s="88">
        <f t="shared" si="2"/>
        <v>737974.68354430387</v>
      </c>
      <c r="E71" s="88">
        <f t="shared" si="1"/>
        <v>245275.7575669823</v>
      </c>
      <c r="F71" s="89"/>
      <c r="G71" s="1"/>
      <c r="H71" s="23"/>
    </row>
    <row r="72" spans="2:8">
      <c r="B72" s="86">
        <f t="shared" si="4"/>
        <v>2051</v>
      </c>
      <c r="C72" s="87">
        <f t="shared" si="4"/>
        <v>39</v>
      </c>
      <c r="D72" s="88">
        <f t="shared" si="2"/>
        <v>737974.68354430387</v>
      </c>
      <c r="E72" s="88">
        <f t="shared" si="1"/>
        <v>238267.87877935421</v>
      </c>
      <c r="F72" s="89"/>
      <c r="G72" s="1"/>
      <c r="H72" s="23"/>
    </row>
    <row r="73" spans="2:8" ht="15.75" thickBot="1">
      <c r="B73" s="51">
        <f t="shared" si="4"/>
        <v>2052</v>
      </c>
      <c r="C73" s="92">
        <f t="shared" si="4"/>
        <v>40</v>
      </c>
      <c r="D73" s="94">
        <f t="shared" si="2"/>
        <v>737974.68354430387</v>
      </c>
      <c r="E73" s="94">
        <f t="shared" si="1"/>
        <v>231460.22509994404</v>
      </c>
      <c r="F73" s="97"/>
      <c r="G73" s="1"/>
      <c r="H73" s="23"/>
    </row>
    <row r="74" spans="2:8">
      <c r="B74" s="34"/>
      <c r="C74" s="34"/>
      <c r="D74" s="35"/>
      <c r="E74" s="36"/>
      <c r="F74" s="36"/>
      <c r="G74" s="30"/>
      <c r="H74" s="30"/>
    </row>
  </sheetData>
  <sheetProtection password="C907" sheet="1" objects="1" scenarios="1"/>
  <mergeCells count="14">
    <mergeCell ref="A3:F5"/>
    <mergeCell ref="B29:F29"/>
    <mergeCell ref="E23:H23"/>
    <mergeCell ref="E21:H21"/>
    <mergeCell ref="E24:H24"/>
    <mergeCell ref="E25:H25"/>
    <mergeCell ref="E27:H27"/>
    <mergeCell ref="E22:H22"/>
    <mergeCell ref="E7:H7"/>
    <mergeCell ref="E8:H8"/>
    <mergeCell ref="E11:H11"/>
    <mergeCell ref="E19:H19"/>
    <mergeCell ref="E20:H20"/>
    <mergeCell ref="E9:H10"/>
  </mergeCells>
  <pageMargins left="0.70866141732283472" right="0.70866141732283472" top="0.74803149606299213" bottom="0.74803149606299213" header="0.31496062992125984" footer="0.31496062992125984"/>
  <pageSetup paperSize="9" scale="5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K79"/>
  <sheetViews>
    <sheetView topLeftCell="A21" zoomScaleNormal="100" workbookViewId="0">
      <selection activeCell="D25" sqref="D25"/>
    </sheetView>
  </sheetViews>
  <sheetFormatPr defaultRowHeight="15"/>
  <cols>
    <col min="1" max="1" width="46.140625" customWidth="1"/>
    <col min="2" max="2" width="12" style="26" customWidth="1"/>
    <col min="3" max="3" width="17.42578125" bestFit="1" customWidth="1"/>
    <col min="4" max="4" width="16" customWidth="1"/>
    <col min="5" max="5" width="18" customWidth="1"/>
    <col min="6" max="6" width="21" customWidth="1"/>
    <col min="7" max="7" width="22" customWidth="1"/>
    <col min="8" max="8" width="19" customWidth="1"/>
    <col min="9" max="9" width="21.5703125" customWidth="1"/>
  </cols>
  <sheetData>
    <row r="1" spans="1:11" ht="18">
      <c r="A1" s="38" t="s">
        <v>227</v>
      </c>
      <c r="E1" s="37" t="s">
        <v>91</v>
      </c>
    </row>
    <row r="2" spans="1:11">
      <c r="A2" s="38"/>
      <c r="B2" s="140"/>
      <c r="E2" s="37"/>
    </row>
    <row r="3" spans="1:11">
      <c r="A3" s="292" t="s">
        <v>268</v>
      </c>
      <c r="B3" s="293"/>
      <c r="C3" s="293"/>
      <c r="D3" s="293"/>
      <c r="E3" s="293"/>
      <c r="F3" s="294"/>
    </row>
    <row r="4" spans="1:11">
      <c r="A4" s="295"/>
      <c r="B4" s="296"/>
      <c r="C4" s="296"/>
      <c r="D4" s="296"/>
      <c r="E4" s="296"/>
      <c r="F4" s="297"/>
    </row>
    <row r="5" spans="1:11">
      <c r="A5" s="298"/>
      <c r="B5" s="299"/>
      <c r="C5" s="299"/>
      <c r="D5" s="299"/>
      <c r="E5" s="299"/>
      <c r="F5" s="300"/>
    </row>
    <row r="7" spans="1:11">
      <c r="A7" s="25" t="s">
        <v>35</v>
      </c>
      <c r="B7" s="25" t="s">
        <v>24</v>
      </c>
      <c r="E7" s="289" t="s">
        <v>22</v>
      </c>
      <c r="F7" s="290"/>
      <c r="G7" s="290"/>
      <c r="H7" s="291"/>
      <c r="I7" s="18"/>
      <c r="J7" s="18"/>
      <c r="K7" s="18"/>
    </row>
    <row r="8" spans="1:11" ht="15" customHeight="1">
      <c r="A8" s="108" t="s">
        <v>163</v>
      </c>
      <c r="B8" s="11"/>
      <c r="C8" s="109">
        <f>'Input Information'!G44</f>
        <v>25000000</v>
      </c>
      <c r="E8" s="312" t="str">
        <f>"Identified at a first glace as annual expenses in "&amp;B38&amp;" currency on input information worksheet; if any additional sub-categories were identified on that worksheet, they will be included in the total but not shown in this subcost list"</f>
        <v>Identified at a first glace as annual expenses in 2012 currency on input information worksheet; if any additional sub-categories were identified on that worksheet, they will be included in the total but not shown in this subcost list</v>
      </c>
      <c r="F8" s="313"/>
      <c r="G8" s="313"/>
      <c r="H8" s="314"/>
      <c r="I8" s="32"/>
      <c r="J8" s="32"/>
      <c r="K8" s="32"/>
    </row>
    <row r="9" spans="1:11">
      <c r="A9" s="13" t="s">
        <v>10</v>
      </c>
      <c r="B9" s="11"/>
      <c r="C9" s="52">
        <f>'Input Information'!G45</f>
        <v>5000000</v>
      </c>
      <c r="E9" s="315"/>
      <c r="F9" s="316"/>
      <c r="G9" s="316"/>
      <c r="H9" s="317"/>
      <c r="I9" s="32"/>
      <c r="J9" s="32"/>
      <c r="K9" s="32"/>
    </row>
    <row r="10" spans="1:11">
      <c r="A10" s="13" t="s">
        <v>11</v>
      </c>
      <c r="B10" s="11"/>
      <c r="C10" s="52">
        <f>'Input Information'!G47</f>
        <v>7500000</v>
      </c>
      <c r="E10" s="315"/>
      <c r="F10" s="316"/>
      <c r="G10" s="316"/>
      <c r="H10" s="317"/>
      <c r="I10" s="32"/>
      <c r="J10" s="32"/>
      <c r="K10" s="32"/>
    </row>
    <row r="11" spans="1:11">
      <c r="A11" s="13" t="s">
        <v>12</v>
      </c>
      <c r="B11" s="11"/>
      <c r="C11" s="52">
        <f>'Input Information'!G49</f>
        <v>5000000</v>
      </c>
      <c r="E11" s="315"/>
      <c r="F11" s="316"/>
      <c r="G11" s="316"/>
      <c r="H11" s="317"/>
      <c r="I11" s="32"/>
      <c r="J11" s="32"/>
      <c r="K11" s="32"/>
    </row>
    <row r="12" spans="1:11">
      <c r="A12" s="13" t="s">
        <v>13</v>
      </c>
      <c r="B12" s="11"/>
      <c r="C12" s="52">
        <f>'Input Information'!G50</f>
        <v>2500000</v>
      </c>
      <c r="E12" s="315"/>
      <c r="F12" s="316"/>
      <c r="G12" s="316"/>
      <c r="H12" s="317"/>
      <c r="I12" s="32"/>
      <c r="J12" s="32"/>
      <c r="K12" s="32"/>
    </row>
    <row r="13" spans="1:11">
      <c r="A13" s="13" t="s">
        <v>176</v>
      </c>
      <c r="B13" s="11"/>
      <c r="C13" s="52">
        <f>'Input Information'!G51</f>
        <v>1250000</v>
      </c>
      <c r="E13" s="315"/>
      <c r="F13" s="316"/>
      <c r="G13" s="316"/>
      <c r="H13" s="317"/>
      <c r="I13" s="32"/>
      <c r="J13" s="32"/>
      <c r="K13" s="32"/>
    </row>
    <row r="14" spans="1:11">
      <c r="A14" s="13" t="s">
        <v>14</v>
      </c>
      <c r="B14" s="11"/>
      <c r="C14" s="52">
        <f>'Input Information'!G53</f>
        <v>2500000</v>
      </c>
      <c r="E14" s="315"/>
      <c r="F14" s="316"/>
      <c r="G14" s="316"/>
      <c r="H14" s="317"/>
      <c r="I14" s="32"/>
      <c r="J14" s="32"/>
      <c r="K14" s="32"/>
    </row>
    <row r="15" spans="1:11">
      <c r="A15" s="13" t="s">
        <v>15</v>
      </c>
      <c r="B15" s="11"/>
      <c r="C15" s="52">
        <f>'Input Information'!G54</f>
        <v>1250000</v>
      </c>
      <c r="E15" s="318"/>
      <c r="F15" s="319"/>
      <c r="G15" s="319"/>
      <c r="H15" s="320"/>
      <c r="I15" s="32"/>
      <c r="J15" s="32"/>
      <c r="K15" s="32"/>
    </row>
    <row r="16" spans="1:11" ht="30" customHeight="1">
      <c r="A16" s="13" t="s">
        <v>36</v>
      </c>
      <c r="B16" s="11"/>
      <c r="C16" s="53">
        <f>'Input Information'!G17</f>
        <v>40</v>
      </c>
      <c r="D16" s="13" t="s">
        <v>37</v>
      </c>
      <c r="E16" s="262" t="s">
        <v>232</v>
      </c>
      <c r="F16" s="263"/>
      <c r="G16" s="263"/>
      <c r="H16" s="264"/>
    </row>
    <row r="17" spans="1:11">
      <c r="A17" s="43" t="s">
        <v>122</v>
      </c>
      <c r="B17" s="41" t="s">
        <v>118</v>
      </c>
      <c r="C17" s="53">
        <f>'Input Information'!G34</f>
        <v>1</v>
      </c>
    </row>
    <row r="18" spans="1:11">
      <c r="A18" s="43" t="s">
        <v>121</v>
      </c>
      <c r="B18" s="41" t="s">
        <v>119</v>
      </c>
      <c r="C18" s="54">
        <f>'Input Information'!F80</f>
        <v>0.05</v>
      </c>
    </row>
    <row r="19" spans="1:11">
      <c r="A19" s="43" t="s">
        <v>40</v>
      </c>
      <c r="B19" s="41" t="s">
        <v>120</v>
      </c>
      <c r="C19" s="54">
        <f>'Input Information'!F81</f>
        <v>0.02</v>
      </c>
    </row>
    <row r="20" spans="1:11">
      <c r="A20" t="s">
        <v>39</v>
      </c>
      <c r="B20" s="11"/>
      <c r="C20" s="57">
        <f>'Input Information'!F82</f>
        <v>2.941176470588247E-2</v>
      </c>
    </row>
    <row r="21" spans="1:11">
      <c r="B21" s="11"/>
      <c r="E21" s="13"/>
      <c r="F21" s="13"/>
      <c r="G21" s="13"/>
      <c r="H21" s="13"/>
      <c r="I21" s="13"/>
      <c r="J21" s="13"/>
      <c r="K21" s="13"/>
    </row>
    <row r="22" spans="1:11">
      <c r="A22" s="10" t="s">
        <v>23</v>
      </c>
      <c r="B22" s="11"/>
      <c r="E22" s="13"/>
      <c r="F22" s="13"/>
      <c r="G22" s="13"/>
      <c r="H22" s="13"/>
      <c r="I22" s="13"/>
      <c r="J22" s="13"/>
      <c r="K22" s="13"/>
    </row>
    <row r="23" spans="1:11">
      <c r="A23" s="10"/>
      <c r="B23" s="11"/>
      <c r="E23" s="13"/>
      <c r="F23" s="13"/>
      <c r="G23" s="13"/>
      <c r="H23" s="13"/>
      <c r="I23" s="13"/>
      <c r="J23" s="13"/>
      <c r="K23" s="13"/>
    </row>
    <row r="24" spans="1:11" ht="30">
      <c r="A24" s="29" t="s">
        <v>249</v>
      </c>
      <c r="B24" s="11"/>
      <c r="C24" s="52">
        <f>'B-Overhead'!C24</f>
        <v>5000000</v>
      </c>
      <c r="E24" s="262" t="str">
        <f>"These are treated as annual costs, "&amp;B38&amp;" currency"</f>
        <v>These are treated as annual costs, 2012 currency</v>
      </c>
      <c r="F24" s="263"/>
      <c r="G24" s="263"/>
      <c r="H24" s="264"/>
      <c r="I24" s="13"/>
      <c r="J24" s="13"/>
      <c r="K24" s="13"/>
    </row>
    <row r="25" spans="1:11" ht="79.5" customHeight="1">
      <c r="A25" s="29" t="s">
        <v>250</v>
      </c>
      <c r="B25" s="12" t="s">
        <v>73</v>
      </c>
      <c r="C25" s="125">
        <v>2000000</v>
      </c>
      <c r="E25" s="271" t="s">
        <v>289</v>
      </c>
      <c r="F25" s="272"/>
      <c r="G25" s="272"/>
      <c r="H25" s="273"/>
      <c r="I25" s="13"/>
      <c r="J25" s="13"/>
      <c r="K25" s="13"/>
    </row>
    <row r="26" spans="1:11" ht="63" customHeight="1">
      <c r="A26" s="29" t="s">
        <v>251</v>
      </c>
      <c r="B26" s="11" t="s">
        <v>29</v>
      </c>
      <c r="C26" s="125">
        <v>4000000</v>
      </c>
      <c r="E26" s="271" t="s">
        <v>290</v>
      </c>
      <c r="F26" s="272"/>
      <c r="G26" s="272"/>
      <c r="H26" s="273"/>
      <c r="I26" s="13"/>
      <c r="J26" s="13"/>
      <c r="K26" s="13"/>
    </row>
    <row r="27" spans="1:11" ht="30">
      <c r="A27" s="4" t="s">
        <v>252</v>
      </c>
      <c r="B27" s="11" t="s">
        <v>58</v>
      </c>
      <c r="C27" s="52">
        <f>C8+C24-C25-C26</f>
        <v>24000000</v>
      </c>
      <c r="E27" s="271" t="s">
        <v>74</v>
      </c>
      <c r="F27" s="272"/>
      <c r="G27" s="272"/>
      <c r="H27" s="273"/>
      <c r="I27" s="13"/>
      <c r="J27" s="13"/>
      <c r="K27" s="13"/>
    </row>
    <row r="28" spans="1:11" s="43" customFormat="1">
      <c r="A28" s="110"/>
      <c r="B28" s="41"/>
      <c r="C28" s="44"/>
      <c r="E28" s="77"/>
      <c r="F28" s="77"/>
      <c r="G28" s="77"/>
      <c r="H28" s="77"/>
      <c r="I28" s="40"/>
      <c r="J28" s="40"/>
      <c r="K28" s="40"/>
    </row>
    <row r="29" spans="1:11" ht="18">
      <c r="A29" s="47" t="s">
        <v>75</v>
      </c>
      <c r="B29" s="11"/>
      <c r="C29" s="44"/>
      <c r="E29" s="16"/>
      <c r="F29" s="16"/>
      <c r="G29" s="16"/>
      <c r="H29" s="16"/>
      <c r="I29" s="13"/>
      <c r="J29" s="13"/>
      <c r="K29" s="13"/>
    </row>
    <row r="30" spans="1:11" ht="30">
      <c r="A30" s="29" t="s">
        <v>253</v>
      </c>
      <c r="B30" s="12" t="s">
        <v>76</v>
      </c>
      <c r="C30" s="61">
        <f>'Neutron Utilisation-C'!G36</f>
        <v>276.5</v>
      </c>
      <c r="D30" s="4"/>
      <c r="E30" s="271" t="s">
        <v>135</v>
      </c>
      <c r="F30" s="272"/>
      <c r="G30" s="272"/>
      <c r="H30" s="273"/>
      <c r="I30" s="13"/>
      <c r="J30" s="13"/>
      <c r="K30" s="13"/>
    </row>
    <row r="31" spans="1:11" ht="32.25" customHeight="1">
      <c r="A31" s="29" t="s">
        <v>277</v>
      </c>
      <c r="B31" s="12" t="s">
        <v>77</v>
      </c>
      <c r="C31" s="62">
        <f>'Neutron Utilisation-C'!C36</f>
        <v>92.75</v>
      </c>
      <c r="D31" s="4"/>
      <c r="E31" s="271" t="s">
        <v>135</v>
      </c>
      <c r="F31" s="272"/>
      <c r="G31" s="272"/>
      <c r="H31" s="273"/>
      <c r="I31" s="13"/>
      <c r="J31" s="13"/>
      <c r="K31" s="13"/>
    </row>
    <row r="32" spans="1:11" ht="18">
      <c r="A32" s="4" t="s">
        <v>254</v>
      </c>
      <c r="B32" s="11" t="s">
        <v>59</v>
      </c>
      <c r="C32" s="55">
        <f>C31/C30</f>
        <v>0.33544303797468356</v>
      </c>
      <c r="I32" s="5"/>
    </row>
    <row r="33" spans="1:9" ht="15.75" thickBot="1">
      <c r="A33" s="4"/>
      <c r="B33" s="11"/>
    </row>
    <row r="34" spans="1:9" ht="15" customHeight="1">
      <c r="B34" s="259" t="s">
        <v>156</v>
      </c>
      <c r="C34" s="260"/>
      <c r="D34" s="260"/>
      <c r="E34" s="260"/>
      <c r="F34" s="261"/>
      <c r="G34" s="39"/>
      <c r="H34" s="39"/>
      <c r="I34" s="24"/>
    </row>
    <row r="35" spans="1:9">
      <c r="B35" s="78" t="s">
        <v>68</v>
      </c>
      <c r="C35" s="79" t="s">
        <v>0</v>
      </c>
      <c r="D35" s="79" t="str">
        <f>"Costs ("&amp;B38&amp;" €)"</f>
        <v>Costs (2012 €)</v>
      </c>
      <c r="E35" s="79" t="s">
        <v>65</v>
      </c>
      <c r="F35" s="80" t="s">
        <v>43</v>
      </c>
      <c r="G35" s="27"/>
      <c r="H35" s="27"/>
    </row>
    <row r="36" spans="1:9">
      <c r="B36" s="78" t="s">
        <v>3</v>
      </c>
      <c r="C36" s="79"/>
      <c r="D36" s="81">
        <f>SUM(D39:D78)</f>
        <v>322025316.45569587</v>
      </c>
      <c r="E36" s="81">
        <f>SUM(E39:E78)</f>
        <v>187870817.31390736</v>
      </c>
      <c r="F36" s="82"/>
      <c r="G36" s="22"/>
      <c r="H36" s="22"/>
    </row>
    <row r="37" spans="1:9">
      <c r="B37" s="83"/>
      <c r="C37" s="84"/>
      <c r="D37" s="84"/>
      <c r="E37" s="84"/>
      <c r="F37" s="85"/>
      <c r="G37" s="27"/>
      <c r="H37" s="27"/>
    </row>
    <row r="38" spans="1:9">
      <c r="B38" s="86">
        <f>'Input Information'!G18</f>
        <v>2012</v>
      </c>
      <c r="C38" s="87">
        <v>0</v>
      </c>
      <c r="D38" s="88"/>
      <c r="E38" s="88"/>
      <c r="F38" s="89"/>
      <c r="G38" s="1"/>
      <c r="H38" s="1"/>
    </row>
    <row r="39" spans="1:9">
      <c r="B39" s="86">
        <f t="shared" ref="B39:C54" si="0">B38+1</f>
        <v>2013</v>
      </c>
      <c r="C39" s="87">
        <f t="shared" si="0"/>
        <v>1</v>
      </c>
      <c r="D39" s="88">
        <f>$C$27*$C$32</f>
        <v>8050632.9113924056</v>
      </c>
      <c r="E39" s="88">
        <f t="shared" ref="E39:E78" si="1">D39/((1+$C$20)^(C39))</f>
        <v>7820614.8282097643</v>
      </c>
      <c r="F39" s="89"/>
      <c r="G39" s="1"/>
      <c r="H39" s="23"/>
    </row>
    <row r="40" spans="1:9">
      <c r="B40" s="86">
        <f t="shared" si="0"/>
        <v>2014</v>
      </c>
      <c r="C40" s="87">
        <f t="shared" si="0"/>
        <v>2</v>
      </c>
      <c r="D40" s="88">
        <f t="shared" ref="D40:D78" si="2">$C$27*$C$32</f>
        <v>8050632.9113924056</v>
      </c>
      <c r="E40" s="88">
        <f t="shared" si="1"/>
        <v>7597168.6902609132</v>
      </c>
      <c r="F40" s="89"/>
      <c r="G40" s="1"/>
      <c r="H40" s="23"/>
    </row>
    <row r="41" spans="1:9">
      <c r="B41" s="86">
        <f t="shared" si="0"/>
        <v>2015</v>
      </c>
      <c r="C41" s="87">
        <f t="shared" si="0"/>
        <v>3</v>
      </c>
      <c r="D41" s="88">
        <f t="shared" si="2"/>
        <v>8050632.9113924056</v>
      </c>
      <c r="E41" s="88">
        <f t="shared" si="1"/>
        <v>7380106.7276820298</v>
      </c>
      <c r="F41" s="89"/>
      <c r="G41" s="1"/>
      <c r="H41" s="23"/>
    </row>
    <row r="42" spans="1:9">
      <c r="B42" s="86">
        <f t="shared" si="0"/>
        <v>2016</v>
      </c>
      <c r="C42" s="87">
        <f t="shared" si="0"/>
        <v>4</v>
      </c>
      <c r="D42" s="88">
        <f t="shared" si="2"/>
        <v>8050632.9113924056</v>
      </c>
      <c r="E42" s="88">
        <f t="shared" si="1"/>
        <v>7169246.5354625424</v>
      </c>
      <c r="F42" s="89"/>
      <c r="G42" s="1"/>
      <c r="H42" s="23"/>
    </row>
    <row r="43" spans="1:9">
      <c r="B43" s="86">
        <f t="shared" si="0"/>
        <v>2017</v>
      </c>
      <c r="C43" s="87">
        <f t="shared" si="0"/>
        <v>5</v>
      </c>
      <c r="D43" s="88">
        <f t="shared" si="2"/>
        <v>8050632.9113924056</v>
      </c>
      <c r="E43" s="88">
        <f t="shared" si="1"/>
        <v>6964410.9201636119</v>
      </c>
      <c r="F43" s="89"/>
      <c r="G43" s="1"/>
      <c r="H43" s="23"/>
    </row>
    <row r="44" spans="1:9">
      <c r="B44" s="86">
        <f t="shared" si="0"/>
        <v>2018</v>
      </c>
      <c r="C44" s="87">
        <f t="shared" si="0"/>
        <v>6</v>
      </c>
      <c r="D44" s="88">
        <f t="shared" si="2"/>
        <v>8050632.9113924056</v>
      </c>
      <c r="E44" s="88">
        <f t="shared" si="1"/>
        <v>6765427.7510160794</v>
      </c>
      <c r="F44" s="89"/>
      <c r="G44" s="1"/>
      <c r="H44" s="23"/>
    </row>
    <row r="45" spans="1:9">
      <c r="B45" s="86">
        <f t="shared" si="0"/>
        <v>2019</v>
      </c>
      <c r="C45" s="87">
        <f t="shared" si="0"/>
        <v>7</v>
      </c>
      <c r="D45" s="88">
        <f t="shared" si="2"/>
        <v>8050632.9113924056</v>
      </c>
      <c r="E45" s="88">
        <f t="shared" si="1"/>
        <v>6572129.8152727624</v>
      </c>
      <c r="F45" s="89"/>
      <c r="G45" s="1"/>
      <c r="H45" s="23"/>
    </row>
    <row r="46" spans="1:9">
      <c r="B46" s="86">
        <f t="shared" si="0"/>
        <v>2020</v>
      </c>
      <c r="C46" s="87">
        <f t="shared" si="0"/>
        <v>8</v>
      </c>
      <c r="D46" s="88">
        <f t="shared" si="2"/>
        <v>8050632.9113924056</v>
      </c>
      <c r="E46" s="88">
        <f t="shared" si="1"/>
        <v>6384354.6776935402</v>
      </c>
      <c r="F46" s="89"/>
      <c r="G46" s="1"/>
      <c r="H46" s="23"/>
    </row>
    <row r="47" spans="1:9">
      <c r="B47" s="86">
        <f t="shared" si="0"/>
        <v>2021</v>
      </c>
      <c r="C47" s="87">
        <f t="shared" si="0"/>
        <v>9</v>
      </c>
      <c r="D47" s="88">
        <f t="shared" si="2"/>
        <v>8050632.9113924056</v>
      </c>
      <c r="E47" s="88">
        <f t="shared" si="1"/>
        <v>6201944.5440451531</v>
      </c>
      <c r="F47" s="89"/>
      <c r="G47" s="1"/>
      <c r="H47" s="23"/>
    </row>
    <row r="48" spans="1:9">
      <c r="B48" s="86">
        <f t="shared" si="0"/>
        <v>2022</v>
      </c>
      <c r="C48" s="87">
        <f t="shared" si="0"/>
        <v>10</v>
      </c>
      <c r="D48" s="88">
        <f t="shared" si="2"/>
        <v>8050632.9113924056</v>
      </c>
      <c r="E48" s="88">
        <f t="shared" si="1"/>
        <v>6024746.1285010045</v>
      </c>
      <c r="F48" s="96"/>
      <c r="G48" s="1"/>
      <c r="H48" s="23"/>
    </row>
    <row r="49" spans="2:8">
      <c r="B49" s="86">
        <f t="shared" si="0"/>
        <v>2023</v>
      </c>
      <c r="C49" s="87">
        <f t="shared" si="0"/>
        <v>11</v>
      </c>
      <c r="D49" s="88">
        <f t="shared" si="2"/>
        <v>8050632.9113924056</v>
      </c>
      <c r="E49" s="88">
        <f t="shared" si="1"/>
        <v>5852610.5248295469</v>
      </c>
      <c r="F49" s="89"/>
      <c r="G49" s="1"/>
      <c r="H49" s="23"/>
    </row>
    <row r="50" spans="2:8">
      <c r="B50" s="86">
        <f t="shared" si="0"/>
        <v>2024</v>
      </c>
      <c r="C50" s="87">
        <f t="shared" si="0"/>
        <v>12</v>
      </c>
      <c r="D50" s="88">
        <f t="shared" si="2"/>
        <v>8050632.9113924056</v>
      </c>
      <c r="E50" s="88">
        <f t="shared" si="1"/>
        <v>5685393.081262988</v>
      </c>
      <c r="F50" s="89"/>
      <c r="G50" s="1"/>
      <c r="H50" s="23"/>
    </row>
    <row r="51" spans="2:8">
      <c r="B51" s="86">
        <f t="shared" si="0"/>
        <v>2025</v>
      </c>
      <c r="C51" s="87">
        <f t="shared" si="0"/>
        <v>13</v>
      </c>
      <c r="D51" s="88">
        <f t="shared" si="2"/>
        <v>8050632.9113924056</v>
      </c>
      <c r="E51" s="88">
        <f t="shared" si="1"/>
        <v>5522953.278941188</v>
      </c>
      <c r="F51" s="89"/>
      <c r="G51" s="1"/>
      <c r="H51" s="23"/>
    </row>
    <row r="52" spans="2:8">
      <c r="B52" s="86">
        <f t="shared" si="0"/>
        <v>2026</v>
      </c>
      <c r="C52" s="87">
        <f t="shared" si="0"/>
        <v>14</v>
      </c>
      <c r="D52" s="88">
        <f t="shared" si="2"/>
        <v>8050632.9113924056</v>
      </c>
      <c r="E52" s="88">
        <f t="shared" si="1"/>
        <v>5365154.6138285818</v>
      </c>
      <c r="F52" s="89"/>
      <c r="G52" s="1"/>
      <c r="H52" s="23"/>
    </row>
    <row r="53" spans="2:8">
      <c r="B53" s="86">
        <f t="shared" si="0"/>
        <v>2027</v>
      </c>
      <c r="C53" s="87">
        <f t="shared" si="0"/>
        <v>15</v>
      </c>
      <c r="D53" s="88">
        <f t="shared" si="2"/>
        <v>8050632.9113924056</v>
      </c>
      <c r="E53" s="88">
        <f t="shared" si="1"/>
        <v>5211864.4820049079</v>
      </c>
      <c r="F53" s="89"/>
      <c r="G53" s="1"/>
      <c r="H53" s="23"/>
    </row>
    <row r="54" spans="2:8">
      <c r="B54" s="86">
        <f t="shared" si="0"/>
        <v>2028</v>
      </c>
      <c r="C54" s="87">
        <f t="shared" si="0"/>
        <v>16</v>
      </c>
      <c r="D54" s="88">
        <f t="shared" si="2"/>
        <v>8050632.9113924056</v>
      </c>
      <c r="E54" s="88">
        <f t="shared" si="1"/>
        <v>5062954.0682333391</v>
      </c>
      <c r="F54" s="89"/>
      <c r="G54" s="1"/>
      <c r="H54" s="23"/>
    </row>
    <row r="55" spans="2:8">
      <c r="B55" s="86">
        <f t="shared" ref="B55:C70" si="3">B54+1</f>
        <v>2029</v>
      </c>
      <c r="C55" s="87">
        <f t="shared" si="3"/>
        <v>17</v>
      </c>
      <c r="D55" s="88">
        <f t="shared" si="2"/>
        <v>8050632.9113924056</v>
      </c>
      <c r="E55" s="88">
        <f t="shared" si="1"/>
        <v>4918298.2377123861</v>
      </c>
      <c r="F55" s="89"/>
      <c r="G55" s="1"/>
      <c r="H55" s="23"/>
    </row>
    <row r="56" spans="2:8">
      <c r="B56" s="86">
        <f t="shared" si="3"/>
        <v>2030</v>
      </c>
      <c r="C56" s="87">
        <f t="shared" si="3"/>
        <v>18</v>
      </c>
      <c r="D56" s="88">
        <f t="shared" si="2"/>
        <v>8050632.9113924056</v>
      </c>
      <c r="E56" s="88">
        <f t="shared" si="1"/>
        <v>4777775.4309206028</v>
      </c>
      <c r="F56" s="89"/>
      <c r="G56" s="1"/>
      <c r="H56" s="23"/>
    </row>
    <row r="57" spans="2:8">
      <c r="B57" s="86">
        <f t="shared" si="3"/>
        <v>2031</v>
      </c>
      <c r="C57" s="87">
        <f t="shared" si="3"/>
        <v>19</v>
      </c>
      <c r="D57" s="88">
        <f t="shared" si="2"/>
        <v>8050632.9113924056</v>
      </c>
      <c r="E57" s="88">
        <f t="shared" si="1"/>
        <v>4641267.5614657281</v>
      </c>
      <c r="F57" s="89"/>
      <c r="G57" s="1"/>
      <c r="H57" s="23"/>
    </row>
    <row r="58" spans="2:8">
      <c r="B58" s="86">
        <f t="shared" si="3"/>
        <v>2032</v>
      </c>
      <c r="C58" s="87">
        <f t="shared" si="3"/>
        <v>20</v>
      </c>
      <c r="D58" s="88">
        <f t="shared" si="2"/>
        <v>8050632.9113924056</v>
      </c>
      <c r="E58" s="88">
        <f t="shared" si="1"/>
        <v>4508659.9168524211</v>
      </c>
      <c r="F58" s="89"/>
      <c r="G58" s="1"/>
      <c r="H58" s="23"/>
    </row>
    <row r="59" spans="2:8">
      <c r="B59" s="86">
        <f t="shared" si="3"/>
        <v>2033</v>
      </c>
      <c r="C59" s="87">
        <f t="shared" si="3"/>
        <v>21</v>
      </c>
      <c r="D59" s="88">
        <f t="shared" si="2"/>
        <v>8050632.9113924056</v>
      </c>
      <c r="E59" s="88">
        <f t="shared" si="1"/>
        <v>4379841.0620852085</v>
      </c>
      <c r="F59" s="89"/>
      <c r="G59" s="1"/>
      <c r="H59" s="23"/>
    </row>
    <row r="60" spans="2:8">
      <c r="B60" s="86">
        <f t="shared" si="3"/>
        <v>2034</v>
      </c>
      <c r="C60" s="87">
        <f t="shared" si="3"/>
        <v>22</v>
      </c>
      <c r="D60" s="88">
        <f t="shared" si="2"/>
        <v>8050632.9113924056</v>
      </c>
      <c r="E60" s="88">
        <f t="shared" si="1"/>
        <v>4254702.7460256312</v>
      </c>
      <c r="F60" s="89"/>
      <c r="G60" s="1"/>
      <c r="H60" s="23"/>
    </row>
    <row r="61" spans="2:8">
      <c r="B61" s="86">
        <f t="shared" si="3"/>
        <v>2035</v>
      </c>
      <c r="C61" s="87">
        <f t="shared" si="3"/>
        <v>23</v>
      </c>
      <c r="D61" s="88">
        <f t="shared" si="2"/>
        <v>8050632.9113924056</v>
      </c>
      <c r="E61" s="88">
        <f t="shared" si="1"/>
        <v>4133139.8104248983</v>
      </c>
      <c r="F61" s="89"/>
      <c r="G61" s="1"/>
      <c r="H61" s="23"/>
    </row>
    <row r="62" spans="2:8">
      <c r="B62" s="86">
        <f t="shared" si="3"/>
        <v>2036</v>
      </c>
      <c r="C62" s="87">
        <f t="shared" si="3"/>
        <v>24</v>
      </c>
      <c r="D62" s="88">
        <f t="shared" si="2"/>
        <v>8050632.9113924056</v>
      </c>
      <c r="E62" s="88">
        <f t="shared" si="1"/>
        <v>4015050.1015556147</v>
      </c>
      <c r="F62" s="89"/>
      <c r="G62" s="1"/>
      <c r="H62" s="23"/>
    </row>
    <row r="63" spans="2:8">
      <c r="B63" s="86">
        <f t="shared" si="3"/>
        <v>2037</v>
      </c>
      <c r="C63" s="87">
        <f t="shared" si="3"/>
        <v>25</v>
      </c>
      <c r="D63" s="88">
        <f t="shared" si="2"/>
        <v>8050632.9113924056</v>
      </c>
      <c r="E63" s="88">
        <f t="shared" si="1"/>
        <v>3900334.3843683111</v>
      </c>
      <c r="F63" s="89"/>
      <c r="G63" s="1"/>
      <c r="H63" s="23"/>
    </row>
    <row r="64" spans="2:8">
      <c r="B64" s="86">
        <f t="shared" si="3"/>
        <v>2038</v>
      </c>
      <c r="C64" s="87">
        <f t="shared" si="3"/>
        <v>26</v>
      </c>
      <c r="D64" s="88">
        <f t="shared" si="2"/>
        <v>8050632.9113924056</v>
      </c>
      <c r="E64" s="88">
        <f t="shared" si="1"/>
        <v>3788896.2591006448</v>
      </c>
      <c r="F64" s="89"/>
      <c r="G64" s="1"/>
      <c r="H64" s="23"/>
    </row>
    <row r="65" spans="2:8">
      <c r="B65" s="86">
        <f t="shared" si="3"/>
        <v>2039</v>
      </c>
      <c r="C65" s="87">
        <f t="shared" si="3"/>
        <v>27</v>
      </c>
      <c r="D65" s="88">
        <f t="shared" si="2"/>
        <v>8050632.9113924056</v>
      </c>
      <c r="E65" s="88">
        <f t="shared" si="1"/>
        <v>3680642.0802691975</v>
      </c>
      <c r="F65" s="89"/>
      <c r="G65" s="1"/>
      <c r="H65" s="23"/>
    </row>
    <row r="66" spans="2:8">
      <c r="B66" s="86">
        <f t="shared" si="3"/>
        <v>2040</v>
      </c>
      <c r="C66" s="87">
        <f t="shared" si="3"/>
        <v>28</v>
      </c>
      <c r="D66" s="88">
        <f t="shared" si="2"/>
        <v>8050632.9113924056</v>
      </c>
      <c r="E66" s="88">
        <f t="shared" si="1"/>
        <v>3575480.8779757917</v>
      </c>
      <c r="F66" s="89"/>
      <c r="G66" s="1"/>
      <c r="H66" s="23"/>
    </row>
    <row r="67" spans="2:8">
      <c r="B67" s="86">
        <f t="shared" si="3"/>
        <v>2041</v>
      </c>
      <c r="C67" s="87">
        <f t="shared" si="3"/>
        <v>29</v>
      </c>
      <c r="D67" s="88">
        <f t="shared" si="2"/>
        <v>8050632.9113924056</v>
      </c>
      <c r="E67" s="88">
        <f t="shared" si="1"/>
        <v>3473324.2814621972</v>
      </c>
      <c r="F67" s="89"/>
      <c r="G67" s="1"/>
      <c r="H67" s="23"/>
    </row>
    <row r="68" spans="2:8">
      <c r="B68" s="86">
        <f t="shared" si="3"/>
        <v>2042</v>
      </c>
      <c r="C68" s="87">
        <f t="shared" si="3"/>
        <v>30</v>
      </c>
      <c r="D68" s="88">
        <f t="shared" si="2"/>
        <v>8050632.9113924056</v>
      </c>
      <c r="E68" s="88">
        <f t="shared" si="1"/>
        <v>3374086.4448489915</v>
      </c>
      <c r="F68" s="89"/>
      <c r="G68" s="1"/>
      <c r="H68" s="23"/>
    </row>
    <row r="69" spans="2:8">
      <c r="B69" s="86">
        <f t="shared" si="3"/>
        <v>2043</v>
      </c>
      <c r="C69" s="87">
        <f t="shared" si="3"/>
        <v>31</v>
      </c>
      <c r="D69" s="88">
        <f t="shared" si="2"/>
        <v>8050632.9113924056</v>
      </c>
      <c r="E69" s="88">
        <f t="shared" si="1"/>
        <v>3277683.974996163</v>
      </c>
      <c r="F69" s="89"/>
      <c r="G69" s="1"/>
      <c r="H69" s="23"/>
    </row>
    <row r="70" spans="2:8">
      <c r="B70" s="86">
        <f t="shared" si="3"/>
        <v>2044</v>
      </c>
      <c r="C70" s="87">
        <f t="shared" si="3"/>
        <v>32</v>
      </c>
      <c r="D70" s="88">
        <f t="shared" si="2"/>
        <v>8050632.9113924056</v>
      </c>
      <c r="E70" s="88">
        <f t="shared" si="1"/>
        <v>3184035.8614248438</v>
      </c>
      <c r="F70" s="89"/>
      <c r="G70" s="1"/>
      <c r="H70" s="23"/>
    </row>
    <row r="71" spans="2:8">
      <c r="B71" s="86">
        <f t="shared" ref="B71:C78" si="4">B70+1</f>
        <v>2045</v>
      </c>
      <c r="C71" s="87">
        <f t="shared" si="4"/>
        <v>33</v>
      </c>
      <c r="D71" s="88">
        <f t="shared" si="2"/>
        <v>8050632.9113924056</v>
      </c>
      <c r="E71" s="88">
        <f t="shared" si="1"/>
        <v>3093063.4082412762</v>
      </c>
      <c r="F71" s="89"/>
      <c r="G71" s="1"/>
      <c r="H71" s="23"/>
    </row>
    <row r="72" spans="2:8">
      <c r="B72" s="86">
        <f t="shared" si="4"/>
        <v>2046</v>
      </c>
      <c r="C72" s="87">
        <f t="shared" si="4"/>
        <v>34</v>
      </c>
      <c r="D72" s="88">
        <f t="shared" si="2"/>
        <v>8050632.9113924056</v>
      </c>
      <c r="E72" s="88">
        <f t="shared" si="1"/>
        <v>3004690.1680058111</v>
      </c>
      <c r="F72" s="89"/>
      <c r="G72" s="1"/>
      <c r="H72" s="23"/>
    </row>
    <row r="73" spans="2:8">
      <c r="B73" s="86">
        <f t="shared" si="4"/>
        <v>2047</v>
      </c>
      <c r="C73" s="87">
        <f t="shared" si="4"/>
        <v>35</v>
      </c>
      <c r="D73" s="88">
        <f t="shared" si="2"/>
        <v>8050632.9113924056</v>
      </c>
      <c r="E73" s="88">
        <f t="shared" si="1"/>
        <v>2918841.8774913591</v>
      </c>
      <c r="F73" s="89"/>
      <c r="G73" s="1"/>
      <c r="H73" s="23"/>
    </row>
    <row r="74" spans="2:8">
      <c r="B74" s="86">
        <f t="shared" si="4"/>
        <v>2048</v>
      </c>
      <c r="C74" s="87">
        <f t="shared" si="4"/>
        <v>36</v>
      </c>
      <c r="D74" s="88">
        <f t="shared" si="2"/>
        <v>8050632.9113924056</v>
      </c>
      <c r="E74" s="88">
        <f t="shared" si="1"/>
        <v>2835446.3952773199</v>
      </c>
      <c r="F74" s="89"/>
      <c r="G74" s="1"/>
      <c r="H74" s="23"/>
    </row>
    <row r="75" spans="2:8">
      <c r="B75" s="86">
        <f t="shared" si="4"/>
        <v>2049</v>
      </c>
      <c r="C75" s="87">
        <f t="shared" si="4"/>
        <v>37</v>
      </c>
      <c r="D75" s="88">
        <f t="shared" si="2"/>
        <v>8050632.9113924056</v>
      </c>
      <c r="E75" s="88">
        <f t="shared" si="1"/>
        <v>2754433.6411265396</v>
      </c>
      <c r="F75" s="89"/>
      <c r="G75" s="1"/>
      <c r="H75" s="23"/>
    </row>
    <row r="76" spans="2:8">
      <c r="B76" s="86">
        <f t="shared" si="4"/>
        <v>2050</v>
      </c>
      <c r="C76" s="87">
        <f t="shared" si="4"/>
        <v>38</v>
      </c>
      <c r="D76" s="88">
        <f t="shared" si="2"/>
        <v>8050632.9113924056</v>
      </c>
      <c r="E76" s="88">
        <f t="shared" si="1"/>
        <v>2675735.5370943523</v>
      </c>
      <c r="F76" s="89"/>
      <c r="G76" s="1"/>
      <c r="H76" s="23"/>
    </row>
    <row r="77" spans="2:8">
      <c r="B77" s="86">
        <f t="shared" si="4"/>
        <v>2051</v>
      </c>
      <c r="C77" s="87">
        <f t="shared" si="4"/>
        <v>39</v>
      </c>
      <c r="D77" s="88">
        <f t="shared" si="2"/>
        <v>8050632.9113924056</v>
      </c>
      <c r="E77" s="88">
        <f t="shared" si="1"/>
        <v>2599285.9503202275</v>
      </c>
      <c r="F77" s="89"/>
      <c r="G77" s="1"/>
      <c r="H77" s="23"/>
    </row>
    <row r="78" spans="2:8" ht="15.75" thickBot="1">
      <c r="B78" s="51">
        <f t="shared" si="4"/>
        <v>2052</v>
      </c>
      <c r="C78" s="92">
        <f t="shared" si="4"/>
        <v>40</v>
      </c>
      <c r="D78" s="94">
        <f t="shared" si="2"/>
        <v>8050632.9113924056</v>
      </c>
      <c r="E78" s="94">
        <f t="shared" si="1"/>
        <v>2525020.6374539351</v>
      </c>
      <c r="F78" s="97"/>
      <c r="G78" s="1"/>
      <c r="H78" s="23"/>
    </row>
    <row r="79" spans="2:8">
      <c r="B79" s="34"/>
      <c r="C79" s="34"/>
      <c r="D79" s="35"/>
      <c r="E79" s="36"/>
      <c r="F79" s="36"/>
      <c r="G79" s="30"/>
      <c r="H79" s="30"/>
    </row>
  </sheetData>
  <sheetProtection password="C907" sheet="1" objects="1" scenarios="1"/>
  <mergeCells count="11">
    <mergeCell ref="A3:F5"/>
    <mergeCell ref="B34:F34"/>
    <mergeCell ref="E7:H7"/>
    <mergeCell ref="E16:H16"/>
    <mergeCell ref="E30:H30"/>
    <mergeCell ref="E31:H31"/>
    <mergeCell ref="E24:H24"/>
    <mergeCell ref="E26:H26"/>
    <mergeCell ref="E25:H25"/>
    <mergeCell ref="E27:H27"/>
    <mergeCell ref="E8:H15"/>
  </mergeCells>
  <pageMargins left="0.70866141732283472" right="0.70866141732283472" top="0.74803149606299213" bottom="0.74803149606299213" header="0.31496062992125984" footer="0.31496062992125984"/>
  <pageSetup paperSize="9" scale="50" fitToHeight="2"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P38"/>
  <sheetViews>
    <sheetView workbookViewId="0">
      <selection activeCell="K39" sqref="K39"/>
    </sheetView>
  </sheetViews>
  <sheetFormatPr defaultRowHeight="15"/>
  <cols>
    <col min="2" max="3" width="9.7109375" customWidth="1"/>
    <col min="7" max="7" width="14.140625" customWidth="1"/>
    <col min="8" max="8" width="3.7109375" customWidth="1"/>
  </cols>
  <sheetData>
    <row r="1" spans="1:16" ht="18">
      <c r="A1" s="38" t="s">
        <v>228</v>
      </c>
      <c r="I1" s="37" t="s">
        <v>92</v>
      </c>
    </row>
    <row r="2" spans="1:16">
      <c r="A2" s="38"/>
    </row>
    <row r="3" spans="1:16" ht="15" customHeight="1">
      <c r="A3" s="332" t="s">
        <v>255</v>
      </c>
      <c r="B3" s="333"/>
      <c r="C3" s="333"/>
      <c r="D3" s="333"/>
      <c r="E3" s="333"/>
      <c r="F3" s="333"/>
      <c r="G3" s="333"/>
      <c r="H3" s="333"/>
      <c r="I3" s="333"/>
      <c r="J3" s="333"/>
      <c r="K3" s="333"/>
      <c r="L3" s="333"/>
      <c r="M3" s="334"/>
    </row>
    <row r="4" spans="1:16">
      <c r="A4" s="335"/>
      <c r="B4" s="336"/>
      <c r="C4" s="336"/>
      <c r="D4" s="336"/>
      <c r="E4" s="336"/>
      <c r="F4" s="336"/>
      <c r="G4" s="336"/>
      <c r="H4" s="336"/>
      <c r="I4" s="336"/>
      <c r="J4" s="336"/>
      <c r="K4" s="336"/>
      <c r="L4" s="336"/>
      <c r="M4" s="337"/>
    </row>
    <row r="5" spans="1:16">
      <c r="A5" s="335"/>
      <c r="B5" s="336"/>
      <c r="C5" s="336"/>
      <c r="D5" s="336"/>
      <c r="E5" s="336"/>
      <c r="F5" s="336"/>
      <c r="G5" s="336"/>
      <c r="H5" s="336"/>
      <c r="I5" s="336"/>
      <c r="J5" s="336"/>
      <c r="K5" s="336"/>
      <c r="L5" s="336"/>
      <c r="M5" s="337"/>
    </row>
    <row r="6" spans="1:16" ht="18" customHeight="1">
      <c r="A6" s="338"/>
      <c r="B6" s="339"/>
      <c r="C6" s="339"/>
      <c r="D6" s="339"/>
      <c r="E6" s="339"/>
      <c r="F6" s="339"/>
      <c r="G6" s="339"/>
      <c r="H6" s="339"/>
      <c r="I6" s="339"/>
      <c r="J6" s="339"/>
      <c r="K6" s="339"/>
      <c r="L6" s="339"/>
      <c r="M6" s="340"/>
    </row>
    <row r="8" spans="1:16">
      <c r="I8" s="329" t="s">
        <v>22</v>
      </c>
      <c r="J8" s="330"/>
      <c r="K8" s="330"/>
      <c r="L8" s="330"/>
      <c r="M8" s="330"/>
      <c r="N8" s="330"/>
      <c r="O8" s="330"/>
      <c r="P8" s="331"/>
    </row>
    <row r="9" spans="1:16">
      <c r="A9" s="342" t="s">
        <v>78</v>
      </c>
      <c r="B9" s="343"/>
      <c r="C9" s="343"/>
      <c r="D9" s="343"/>
      <c r="E9" s="343"/>
      <c r="F9" s="343"/>
      <c r="G9" s="344"/>
      <c r="I9" s="114"/>
      <c r="J9" s="114"/>
      <c r="K9" s="114"/>
      <c r="L9" s="114"/>
      <c r="M9" s="114"/>
      <c r="N9" s="114"/>
      <c r="O9" s="114"/>
      <c r="P9" s="114"/>
    </row>
    <row r="10" spans="1:16" ht="15" customHeight="1">
      <c r="A10" s="134"/>
      <c r="B10" s="135"/>
      <c r="C10" s="135"/>
      <c r="D10" s="135"/>
      <c r="E10" s="135"/>
      <c r="F10" s="135"/>
      <c r="G10" s="341" t="s">
        <v>85</v>
      </c>
      <c r="I10" s="306" t="s">
        <v>170</v>
      </c>
      <c r="J10" s="321"/>
      <c r="K10" s="321"/>
      <c r="L10" s="321"/>
      <c r="M10" s="321"/>
      <c r="N10" s="321"/>
      <c r="O10" s="321"/>
      <c r="P10" s="322"/>
    </row>
    <row r="11" spans="1:16" ht="17.25">
      <c r="A11" s="136" t="s">
        <v>179</v>
      </c>
      <c r="B11" s="137" t="s">
        <v>87</v>
      </c>
      <c r="C11" s="137" t="s">
        <v>82</v>
      </c>
      <c r="D11" s="137" t="s">
        <v>81</v>
      </c>
      <c r="E11" s="137" t="s">
        <v>79</v>
      </c>
      <c r="F11" s="137" t="s">
        <v>80</v>
      </c>
      <c r="G11" s="341"/>
      <c r="I11" s="326"/>
      <c r="J11" s="327"/>
      <c r="K11" s="327"/>
      <c r="L11" s="327"/>
      <c r="M11" s="327"/>
      <c r="N11" s="327"/>
      <c r="O11" s="327"/>
      <c r="P11" s="328"/>
    </row>
    <row r="12" spans="1:16">
      <c r="A12" s="126">
        <v>1</v>
      </c>
      <c r="B12" s="127">
        <v>32</v>
      </c>
      <c r="C12" s="127">
        <v>29</v>
      </c>
      <c r="D12" s="127">
        <v>19</v>
      </c>
      <c r="E12" s="127">
        <v>26</v>
      </c>
      <c r="F12" s="128">
        <f>SUM(B12:E12)</f>
        <v>106</v>
      </c>
      <c r="G12" s="129">
        <f>F12-E12</f>
        <v>80</v>
      </c>
      <c r="I12" s="306" t="s">
        <v>283</v>
      </c>
      <c r="J12" s="321"/>
      <c r="K12" s="321"/>
      <c r="L12" s="321"/>
      <c r="M12" s="321"/>
      <c r="N12" s="321"/>
      <c r="O12" s="321"/>
      <c r="P12" s="322"/>
    </row>
    <row r="13" spans="1:16">
      <c r="A13" s="126">
        <v>2</v>
      </c>
      <c r="B13" s="127">
        <v>28</v>
      </c>
      <c r="C13" s="127">
        <v>22</v>
      </c>
      <c r="D13" s="127">
        <v>20</v>
      </c>
      <c r="E13" s="127">
        <v>36</v>
      </c>
      <c r="F13" s="128">
        <f t="shared" ref="F13:F19" si="0">SUM(B13:E13)</f>
        <v>106</v>
      </c>
      <c r="G13" s="129">
        <f t="shared" ref="G13:G20" si="1">F13-E13</f>
        <v>70</v>
      </c>
      <c r="I13" s="323"/>
      <c r="J13" s="324"/>
      <c r="K13" s="324"/>
      <c r="L13" s="324"/>
      <c r="M13" s="324"/>
      <c r="N13" s="324"/>
      <c r="O13" s="324"/>
      <c r="P13" s="325"/>
    </row>
    <row r="14" spans="1:16" ht="15" customHeight="1">
      <c r="A14" s="126">
        <v>3</v>
      </c>
      <c r="B14" s="127">
        <v>27</v>
      </c>
      <c r="C14" s="127">
        <v>21</v>
      </c>
      <c r="D14" s="127">
        <v>20</v>
      </c>
      <c r="E14" s="127">
        <v>43</v>
      </c>
      <c r="F14" s="128">
        <f t="shared" si="0"/>
        <v>111</v>
      </c>
      <c r="G14" s="129">
        <f t="shared" si="1"/>
        <v>68</v>
      </c>
      <c r="I14" s="323"/>
      <c r="J14" s="324"/>
      <c r="K14" s="324"/>
      <c r="L14" s="324"/>
      <c r="M14" s="324"/>
      <c r="N14" s="324"/>
      <c r="O14" s="324"/>
      <c r="P14" s="325"/>
    </row>
    <row r="15" spans="1:16">
      <c r="A15" s="126">
        <v>4</v>
      </c>
      <c r="B15" s="127">
        <v>27</v>
      </c>
      <c r="C15" s="127">
        <v>22</v>
      </c>
      <c r="D15" s="127">
        <v>20</v>
      </c>
      <c r="E15" s="127">
        <v>43</v>
      </c>
      <c r="F15" s="128">
        <f t="shared" si="0"/>
        <v>112</v>
      </c>
      <c r="G15" s="129">
        <f t="shared" si="1"/>
        <v>69</v>
      </c>
      <c r="I15" s="326"/>
      <c r="J15" s="327"/>
      <c r="K15" s="327"/>
      <c r="L15" s="327"/>
      <c r="M15" s="327"/>
      <c r="N15" s="327"/>
      <c r="O15" s="327"/>
      <c r="P15" s="328"/>
    </row>
    <row r="16" spans="1:16">
      <c r="A16" s="126">
        <v>5</v>
      </c>
      <c r="B16" s="127">
        <v>31</v>
      </c>
      <c r="C16" s="127">
        <v>18</v>
      </c>
      <c r="D16" s="127">
        <v>20</v>
      </c>
      <c r="E16" s="127">
        <v>46</v>
      </c>
      <c r="F16" s="128">
        <f t="shared" si="0"/>
        <v>115</v>
      </c>
      <c r="G16" s="129">
        <f t="shared" si="1"/>
        <v>69</v>
      </c>
      <c r="I16" s="306" t="s">
        <v>169</v>
      </c>
      <c r="J16" s="321"/>
      <c r="K16" s="321"/>
      <c r="L16" s="321"/>
      <c r="M16" s="321"/>
      <c r="N16" s="321"/>
      <c r="O16" s="321"/>
      <c r="P16" s="322"/>
    </row>
    <row r="17" spans="1:16">
      <c r="A17" s="126">
        <v>6</v>
      </c>
      <c r="B17" s="127">
        <v>30</v>
      </c>
      <c r="C17" s="127">
        <v>18</v>
      </c>
      <c r="D17" s="127">
        <v>20</v>
      </c>
      <c r="E17" s="127">
        <v>41</v>
      </c>
      <c r="F17" s="128">
        <f t="shared" si="0"/>
        <v>109</v>
      </c>
      <c r="G17" s="129">
        <f t="shared" si="1"/>
        <v>68</v>
      </c>
      <c r="I17" s="323"/>
      <c r="J17" s="324"/>
      <c r="K17" s="324"/>
      <c r="L17" s="324"/>
      <c r="M17" s="324"/>
      <c r="N17" s="324"/>
      <c r="O17" s="324"/>
      <c r="P17" s="325"/>
    </row>
    <row r="18" spans="1:16">
      <c r="A18" s="126">
        <v>7</v>
      </c>
      <c r="B18" s="127">
        <v>27</v>
      </c>
      <c r="C18" s="127">
        <v>19</v>
      </c>
      <c r="D18" s="127">
        <v>24</v>
      </c>
      <c r="E18" s="127">
        <v>35</v>
      </c>
      <c r="F18" s="128">
        <f t="shared" si="0"/>
        <v>105</v>
      </c>
      <c r="G18" s="129">
        <f t="shared" si="1"/>
        <v>70</v>
      </c>
      <c r="I18" s="323"/>
      <c r="J18" s="324"/>
      <c r="K18" s="324"/>
      <c r="L18" s="324"/>
      <c r="M18" s="324"/>
      <c r="N18" s="324"/>
      <c r="O18" s="324"/>
      <c r="P18" s="325"/>
    </row>
    <row r="19" spans="1:16">
      <c r="A19" s="126">
        <v>8</v>
      </c>
      <c r="B19" s="127">
        <v>27</v>
      </c>
      <c r="C19" s="127">
        <v>19</v>
      </c>
      <c r="D19" s="127">
        <v>24</v>
      </c>
      <c r="E19" s="127">
        <v>35</v>
      </c>
      <c r="F19" s="128">
        <f t="shared" si="0"/>
        <v>105</v>
      </c>
      <c r="G19" s="129">
        <f t="shared" si="1"/>
        <v>70</v>
      </c>
      <c r="I19" s="326"/>
      <c r="J19" s="327"/>
      <c r="K19" s="327"/>
      <c r="L19" s="327"/>
      <c r="M19" s="327"/>
      <c r="N19" s="327"/>
      <c r="O19" s="327"/>
      <c r="P19" s="328"/>
    </row>
    <row r="20" spans="1:16">
      <c r="A20" s="130" t="s">
        <v>83</v>
      </c>
      <c r="B20" s="131">
        <f>SUM(B12:B19)/$A$19</f>
        <v>28.625</v>
      </c>
      <c r="C20" s="131">
        <f t="shared" ref="C20:F20" si="2">SUM(C12:C19)/$A$19</f>
        <v>21</v>
      </c>
      <c r="D20" s="131">
        <f t="shared" si="2"/>
        <v>20.875</v>
      </c>
      <c r="E20" s="131">
        <f t="shared" si="2"/>
        <v>38.125</v>
      </c>
      <c r="F20" s="131">
        <f t="shared" si="2"/>
        <v>108.625</v>
      </c>
      <c r="G20" s="132">
        <f t="shared" si="1"/>
        <v>70.5</v>
      </c>
      <c r="I20" s="306" t="s">
        <v>167</v>
      </c>
      <c r="J20" s="321"/>
      <c r="K20" s="321"/>
      <c r="L20" s="321"/>
      <c r="M20" s="321"/>
      <c r="N20" s="321"/>
      <c r="O20" s="321"/>
      <c r="P20" s="322"/>
    </row>
    <row r="21" spans="1:16">
      <c r="A21" s="133"/>
      <c r="B21" s="133"/>
      <c r="C21" s="133"/>
      <c r="D21" s="133"/>
      <c r="E21" s="133"/>
      <c r="F21" s="133"/>
      <c r="G21" s="133"/>
      <c r="I21" s="326"/>
      <c r="J21" s="327"/>
      <c r="K21" s="327"/>
      <c r="L21" s="327"/>
      <c r="M21" s="327"/>
      <c r="N21" s="327"/>
      <c r="O21" s="327"/>
      <c r="P21" s="328"/>
    </row>
    <row r="22" spans="1:16">
      <c r="A22" s="214" t="s">
        <v>168</v>
      </c>
      <c r="B22" s="215"/>
      <c r="C22" s="215"/>
      <c r="D22" s="215"/>
      <c r="E22" s="215"/>
      <c r="F22" s="216"/>
      <c r="G22" s="133"/>
      <c r="I22" s="274" t="s">
        <v>288</v>
      </c>
      <c r="J22" s="275"/>
      <c r="K22" s="275"/>
      <c r="L22" s="275"/>
      <c r="M22" s="275"/>
      <c r="N22" s="275"/>
      <c r="O22" s="275"/>
      <c r="P22" s="276"/>
    </row>
    <row r="23" spans="1:16">
      <c r="A23" s="220"/>
      <c r="B23" s="221"/>
      <c r="C23" s="221"/>
      <c r="D23" s="221"/>
      <c r="E23" s="221"/>
      <c r="F23" s="222"/>
      <c r="G23" s="133"/>
      <c r="I23" s="286"/>
      <c r="J23" s="287"/>
      <c r="K23" s="287"/>
      <c r="L23" s="287"/>
      <c r="M23" s="287"/>
      <c r="N23" s="287"/>
      <c r="O23" s="287"/>
      <c r="P23" s="288"/>
    </row>
    <row r="24" spans="1:16">
      <c r="A24" s="133"/>
      <c r="B24" s="133"/>
      <c r="C24" s="133"/>
      <c r="D24" s="133"/>
      <c r="E24" s="133"/>
      <c r="F24" s="133"/>
      <c r="G24" s="133"/>
      <c r="I24" s="265"/>
      <c r="J24" s="266"/>
      <c r="K24" s="266"/>
      <c r="L24" s="266"/>
      <c r="M24" s="266"/>
      <c r="N24" s="266"/>
      <c r="O24" s="266"/>
      <c r="P24" s="267"/>
    </row>
    <row r="25" spans="1:16" ht="15" customHeight="1">
      <c r="A25" s="342" t="s">
        <v>84</v>
      </c>
      <c r="B25" s="343"/>
      <c r="C25" s="343"/>
      <c r="D25" s="343"/>
      <c r="E25" s="343"/>
      <c r="F25" s="343"/>
      <c r="G25" s="344"/>
      <c r="I25" s="306" t="s">
        <v>278</v>
      </c>
      <c r="J25" s="321"/>
      <c r="K25" s="321"/>
      <c r="L25" s="321"/>
      <c r="M25" s="321"/>
      <c r="N25" s="321"/>
      <c r="O25" s="321"/>
      <c r="P25" s="322"/>
    </row>
    <row r="26" spans="1:16">
      <c r="A26" s="134"/>
      <c r="B26" s="135"/>
      <c r="C26" s="135"/>
      <c r="D26" s="135"/>
      <c r="E26" s="135"/>
      <c r="F26" s="135"/>
      <c r="G26" s="341" t="s">
        <v>85</v>
      </c>
      <c r="I26" s="323"/>
      <c r="J26" s="324"/>
      <c r="K26" s="324"/>
      <c r="L26" s="324"/>
      <c r="M26" s="324"/>
      <c r="N26" s="324"/>
      <c r="O26" s="324"/>
      <c r="P26" s="325"/>
    </row>
    <row r="27" spans="1:16" ht="15" customHeight="1">
      <c r="A27" s="136" t="s">
        <v>179</v>
      </c>
      <c r="B27" s="137" t="s">
        <v>87</v>
      </c>
      <c r="C27" s="137" t="s">
        <v>82</v>
      </c>
      <c r="D27" s="137" t="s">
        <v>81</v>
      </c>
      <c r="E27" s="137" t="s">
        <v>79</v>
      </c>
      <c r="F27" s="137" t="s">
        <v>80</v>
      </c>
      <c r="G27" s="341"/>
      <c r="I27" s="323"/>
      <c r="J27" s="324"/>
      <c r="K27" s="324"/>
      <c r="L27" s="324"/>
      <c r="M27" s="324"/>
      <c r="N27" s="324"/>
      <c r="O27" s="324"/>
      <c r="P27" s="325"/>
    </row>
    <row r="28" spans="1:16">
      <c r="A28" s="126">
        <v>1</v>
      </c>
      <c r="B28" s="138">
        <f>10*3+10*5+12*4</f>
        <v>128</v>
      </c>
      <c r="C28" s="138">
        <f>10*2+7*5+12*4</f>
        <v>103</v>
      </c>
      <c r="D28" s="138">
        <f>10*2+7*5+2*4</f>
        <v>63</v>
      </c>
      <c r="E28" s="138">
        <f>10*1+7*5+2*4+7*3</f>
        <v>74</v>
      </c>
      <c r="F28" s="139">
        <f>SUM(B28:E28)</f>
        <v>368</v>
      </c>
      <c r="G28" s="129">
        <f>F28-E28</f>
        <v>294</v>
      </c>
      <c r="I28" s="326"/>
      <c r="J28" s="327"/>
      <c r="K28" s="327"/>
      <c r="L28" s="327"/>
      <c r="M28" s="327"/>
      <c r="N28" s="327"/>
      <c r="O28" s="327"/>
      <c r="P28" s="328"/>
    </row>
    <row r="29" spans="1:16" ht="15" customHeight="1">
      <c r="A29" s="126">
        <v>2</v>
      </c>
      <c r="B29" s="138">
        <f>10*3+10*5+8*4</f>
        <v>112</v>
      </c>
      <c r="C29" s="138">
        <f>10*2+0*5+12*4</f>
        <v>68</v>
      </c>
      <c r="D29" s="138">
        <f>10*2+7*5+3*4</f>
        <v>67</v>
      </c>
      <c r="E29" s="138">
        <f>15*1+7*5+7*4+7*3</f>
        <v>99</v>
      </c>
      <c r="F29" s="139">
        <f t="shared" ref="F29:F35" si="3">SUM(B29:E29)</f>
        <v>346</v>
      </c>
      <c r="G29" s="129">
        <f t="shared" ref="G29:G36" si="4">F29-E29</f>
        <v>247</v>
      </c>
      <c r="I29" s="306" t="s">
        <v>171</v>
      </c>
      <c r="J29" s="321"/>
      <c r="K29" s="321"/>
      <c r="L29" s="321"/>
      <c r="M29" s="321"/>
      <c r="N29" s="321"/>
      <c r="O29" s="321"/>
      <c r="P29" s="322"/>
    </row>
    <row r="30" spans="1:16">
      <c r="A30" s="126">
        <v>3</v>
      </c>
      <c r="B30" s="138">
        <f>10*3+9*5+8*4</f>
        <v>107</v>
      </c>
      <c r="C30" s="138">
        <f>7*2+7*5+7*4</f>
        <v>77</v>
      </c>
      <c r="D30" s="138">
        <f t="shared" ref="D30:D33" si="5">10*2+7*5+3*4</f>
        <v>67</v>
      </c>
      <c r="E30" s="138">
        <f>15*1+7*5+7*4+14*3</f>
        <v>120</v>
      </c>
      <c r="F30" s="139">
        <f t="shared" si="3"/>
        <v>371</v>
      </c>
      <c r="G30" s="129">
        <f t="shared" si="4"/>
        <v>251</v>
      </c>
      <c r="I30" s="323"/>
      <c r="J30" s="324"/>
      <c r="K30" s="324"/>
      <c r="L30" s="324"/>
      <c r="M30" s="324"/>
      <c r="N30" s="324"/>
      <c r="O30" s="324"/>
      <c r="P30" s="325"/>
    </row>
    <row r="31" spans="1:16">
      <c r="A31" s="126">
        <v>4</v>
      </c>
      <c r="B31" s="138">
        <f>10*3+9*5+8*4</f>
        <v>107</v>
      </c>
      <c r="C31" s="138">
        <f>7*2+8*5+7*4</f>
        <v>82</v>
      </c>
      <c r="D31" s="138">
        <f t="shared" si="5"/>
        <v>67</v>
      </c>
      <c r="E31" s="138">
        <f>15*1+7*5+7*4+14*3</f>
        <v>120</v>
      </c>
      <c r="F31" s="139">
        <f t="shared" si="3"/>
        <v>376</v>
      </c>
      <c r="G31" s="129">
        <f t="shared" si="4"/>
        <v>256</v>
      </c>
      <c r="I31" s="323"/>
      <c r="J31" s="324"/>
      <c r="K31" s="324"/>
      <c r="L31" s="324"/>
      <c r="M31" s="324"/>
      <c r="N31" s="324"/>
      <c r="O31" s="324"/>
      <c r="P31" s="325"/>
    </row>
    <row r="32" spans="1:16">
      <c r="A32" s="126">
        <v>5</v>
      </c>
      <c r="B32" s="138">
        <f>10*3+10*5+11*4</f>
        <v>124</v>
      </c>
      <c r="C32" s="138">
        <f>10*2+6*5+12*4</f>
        <v>98</v>
      </c>
      <c r="D32" s="138">
        <f t="shared" si="5"/>
        <v>67</v>
      </c>
      <c r="E32" s="138">
        <f>18*1+7*5+7*4+14*3</f>
        <v>123</v>
      </c>
      <c r="F32" s="139">
        <f t="shared" si="3"/>
        <v>412</v>
      </c>
      <c r="G32" s="129">
        <f t="shared" si="4"/>
        <v>289</v>
      </c>
      <c r="I32" s="323"/>
      <c r="J32" s="324"/>
      <c r="K32" s="324"/>
      <c r="L32" s="324"/>
      <c r="M32" s="324"/>
      <c r="N32" s="324"/>
      <c r="O32" s="324"/>
      <c r="P32" s="325"/>
    </row>
    <row r="33" spans="1:16">
      <c r="A33" s="126">
        <v>6</v>
      </c>
      <c r="B33" s="138">
        <f>10*3+8*5+12*4</f>
        <v>118</v>
      </c>
      <c r="C33" s="138">
        <f>10*2+6*5+12*4</f>
        <v>98</v>
      </c>
      <c r="D33" s="138">
        <f t="shared" si="5"/>
        <v>67</v>
      </c>
      <c r="E33" s="138">
        <f>18*1+2*5+7*4+14*3</f>
        <v>98</v>
      </c>
      <c r="F33" s="139">
        <f t="shared" si="3"/>
        <v>381</v>
      </c>
      <c r="G33" s="129">
        <f t="shared" si="4"/>
        <v>283</v>
      </c>
      <c r="I33" s="323"/>
      <c r="J33" s="324"/>
      <c r="K33" s="324"/>
      <c r="L33" s="324"/>
      <c r="M33" s="324"/>
      <c r="N33" s="324"/>
      <c r="O33" s="324"/>
      <c r="P33" s="325"/>
    </row>
    <row r="34" spans="1:16">
      <c r="A34" s="126">
        <v>7</v>
      </c>
      <c r="B34" s="138">
        <f>5*3+10*5+12*4</f>
        <v>113</v>
      </c>
      <c r="C34" s="138">
        <f>10*2+8*5+12*4</f>
        <v>108</v>
      </c>
      <c r="D34" s="138">
        <f>14*2+7*5+3*4</f>
        <v>75</v>
      </c>
      <c r="E34" s="138">
        <f>18*1+2*5+0*4+15*3</f>
        <v>73</v>
      </c>
      <c r="F34" s="139">
        <f t="shared" si="3"/>
        <v>369</v>
      </c>
      <c r="G34" s="129">
        <f t="shared" si="4"/>
        <v>296</v>
      </c>
      <c r="I34" s="323"/>
      <c r="J34" s="324"/>
      <c r="K34" s="324"/>
      <c r="L34" s="324"/>
      <c r="M34" s="324"/>
      <c r="N34" s="324"/>
      <c r="O34" s="324"/>
      <c r="P34" s="325"/>
    </row>
    <row r="35" spans="1:16">
      <c r="A35" s="126">
        <v>8</v>
      </c>
      <c r="B35" s="138">
        <f>5*3+10*5+12*4</f>
        <v>113</v>
      </c>
      <c r="C35" s="138">
        <f>10*2+8*5+12*4</f>
        <v>108</v>
      </c>
      <c r="D35" s="138">
        <f>14*2+7*5+3*4</f>
        <v>75</v>
      </c>
      <c r="E35" s="138">
        <f>18*1+2*5+0*4+15*3</f>
        <v>73</v>
      </c>
      <c r="F35" s="139">
        <f t="shared" si="3"/>
        <v>369</v>
      </c>
      <c r="G35" s="129">
        <f t="shared" si="4"/>
        <v>296</v>
      </c>
      <c r="I35" s="326"/>
      <c r="J35" s="327"/>
      <c r="K35" s="327"/>
      <c r="L35" s="327"/>
      <c r="M35" s="327"/>
      <c r="N35" s="327"/>
      <c r="O35" s="327"/>
      <c r="P35" s="328"/>
    </row>
    <row r="36" spans="1:16">
      <c r="A36" s="134" t="s">
        <v>83</v>
      </c>
      <c r="B36" s="139">
        <f>SUM(B28:B35)/$A$19</f>
        <v>115.25</v>
      </c>
      <c r="C36" s="139">
        <f>SUM(C28:C35)/$A$19</f>
        <v>92.75</v>
      </c>
      <c r="D36" s="139">
        <f t="shared" ref="D36" si="6">SUM(D28:D35)/$A$19</f>
        <v>68.5</v>
      </c>
      <c r="E36" s="139">
        <f t="shared" ref="E36" si="7">SUM(E28:E35)/$A$19</f>
        <v>97.5</v>
      </c>
      <c r="F36" s="139">
        <f t="shared" ref="F36" si="8">SUM(F28:F35)/$A$19</f>
        <v>374</v>
      </c>
      <c r="G36" s="129">
        <f t="shared" si="4"/>
        <v>276.5</v>
      </c>
    </row>
    <row r="37" spans="1:16">
      <c r="A37" s="2" t="s">
        <v>86</v>
      </c>
      <c r="B37" s="145">
        <f>B36/$G$36</f>
        <v>0.41681735985533452</v>
      </c>
      <c r="C37" s="145">
        <f>C36/$G$36</f>
        <v>0.33544303797468356</v>
      </c>
      <c r="D37" s="145">
        <f t="shared" ref="D37" si="9">D36/$G$36</f>
        <v>0.24773960216998192</v>
      </c>
      <c r="E37" s="48"/>
      <c r="F37" s="48"/>
      <c r="G37" s="113">
        <f t="shared" ref="G37" si="10">G36/$G$36</f>
        <v>1</v>
      </c>
    </row>
    <row r="38" spans="1:16" ht="18">
      <c r="A38" s="3" t="s">
        <v>24</v>
      </c>
      <c r="B38" s="49" t="s">
        <v>89</v>
      </c>
      <c r="C38" s="49" t="s">
        <v>59</v>
      </c>
      <c r="D38" s="49" t="s">
        <v>88</v>
      </c>
      <c r="E38" s="49"/>
      <c r="F38" s="49"/>
      <c r="G38" s="50"/>
    </row>
  </sheetData>
  <sheetProtection password="C907" sheet="1" objects="1" scenarios="1"/>
  <mergeCells count="14">
    <mergeCell ref="A3:M6"/>
    <mergeCell ref="A22:F23"/>
    <mergeCell ref="G26:G27"/>
    <mergeCell ref="G10:G11"/>
    <mergeCell ref="A9:G9"/>
    <mergeCell ref="A25:G25"/>
    <mergeCell ref="I22:P24"/>
    <mergeCell ref="I10:P11"/>
    <mergeCell ref="I25:P28"/>
    <mergeCell ref="I29:P35"/>
    <mergeCell ref="I8:P8"/>
    <mergeCell ref="I20:P21"/>
    <mergeCell ref="I12:P15"/>
    <mergeCell ref="I16:P19"/>
  </mergeCells>
  <pageMargins left="0.70866141732283472" right="0.70866141732283472" top="0.74803149606299213" bottom="0.74803149606299213" header="0.31496062992125984" footer="0.31496062992125984"/>
  <pageSetup paperSize="9" scale="88" orientation="landscape" r:id="rId1"/>
  <ignoredErrors>
    <ignoredError sqref="F14:F19 F12:F13 F28:F35" formulaRange="1" unlockedFormula="1"/>
    <ignoredError sqref="F20:G20 G12:G13 G14:G19 B20:E20 F36:G36 B36:C36 G28 G29:G35 D36:E36 B28:E35" unlocked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K68"/>
  <sheetViews>
    <sheetView workbookViewId="0">
      <selection activeCell="D14" sqref="D14"/>
    </sheetView>
  </sheetViews>
  <sheetFormatPr defaultRowHeight="15"/>
  <cols>
    <col min="1" max="1" width="46.140625" customWidth="1"/>
    <col min="2" max="2" width="12" style="8" customWidth="1"/>
    <col min="3" max="3" width="17.42578125" bestFit="1" customWidth="1"/>
    <col min="4" max="4" width="16" customWidth="1"/>
    <col min="5" max="5" width="18" customWidth="1"/>
    <col min="6" max="6" width="21" customWidth="1"/>
    <col min="7" max="7" width="22" customWidth="1"/>
    <col min="8" max="8" width="19" customWidth="1"/>
    <col min="9" max="9" width="21.5703125" customWidth="1"/>
  </cols>
  <sheetData>
    <row r="1" spans="1:11">
      <c r="A1" s="38" t="s">
        <v>229</v>
      </c>
      <c r="E1" s="37" t="s">
        <v>279</v>
      </c>
    </row>
    <row r="2" spans="1:11">
      <c r="A2" s="38"/>
      <c r="B2" s="140"/>
      <c r="E2" s="37"/>
    </row>
    <row r="3" spans="1:11">
      <c r="A3" s="292" t="s">
        <v>267</v>
      </c>
      <c r="B3" s="293"/>
      <c r="C3" s="293"/>
      <c r="D3" s="293"/>
      <c r="E3" s="293"/>
      <c r="F3" s="294"/>
    </row>
    <row r="4" spans="1:11">
      <c r="A4" s="295"/>
      <c r="B4" s="296"/>
      <c r="C4" s="296"/>
      <c r="D4" s="296"/>
      <c r="E4" s="296"/>
      <c r="F4" s="297"/>
    </row>
    <row r="5" spans="1:11">
      <c r="A5" s="298"/>
      <c r="B5" s="299"/>
      <c r="C5" s="299"/>
      <c r="D5" s="299"/>
      <c r="E5" s="299"/>
      <c r="F5" s="300"/>
    </row>
    <row r="7" spans="1:11">
      <c r="A7" s="9" t="s">
        <v>35</v>
      </c>
      <c r="B7" s="9" t="s">
        <v>24</v>
      </c>
      <c r="E7" s="289" t="s">
        <v>22</v>
      </c>
      <c r="F7" s="290"/>
      <c r="G7" s="290"/>
      <c r="H7" s="291"/>
      <c r="I7" s="18"/>
      <c r="J7" s="18"/>
      <c r="K7" s="18"/>
    </row>
    <row r="8" spans="1:11" ht="29.25" customHeight="1">
      <c r="A8" t="s">
        <v>51</v>
      </c>
      <c r="B8" s="74" t="s">
        <v>148</v>
      </c>
      <c r="C8" s="52">
        <f>'Input Information'!G57</f>
        <v>65250000</v>
      </c>
      <c r="E8" s="268" t="str">
        <f>"As derived in the input information worksheet. This represents the  value of the decommissioning costs (including final waste disposal) in year 40 in "&amp;B27&amp;" currency."</f>
        <v>As derived in the input information worksheet. This represents the  value of the decommissioning costs (including final waste disposal) in year 40 in 2012 currency.</v>
      </c>
      <c r="F8" s="345"/>
      <c r="G8" s="345"/>
      <c r="H8" s="346"/>
      <c r="I8" s="32"/>
      <c r="J8" s="32"/>
      <c r="K8" s="32"/>
    </row>
    <row r="9" spans="1:11" ht="30.75" customHeight="1">
      <c r="A9" s="13" t="s">
        <v>36</v>
      </c>
      <c r="B9" s="11"/>
      <c r="C9" s="53">
        <f>'Input Information'!G17</f>
        <v>40</v>
      </c>
      <c r="D9" s="13" t="s">
        <v>37</v>
      </c>
      <c r="E9" s="265" t="s">
        <v>232</v>
      </c>
      <c r="F9" s="266"/>
      <c r="G9" s="266"/>
      <c r="H9" s="267"/>
    </row>
    <row r="10" spans="1:11">
      <c r="A10" s="43" t="s">
        <v>122</v>
      </c>
      <c r="B10" s="41" t="s">
        <v>118</v>
      </c>
      <c r="C10" s="53">
        <f>'Input Information'!G34</f>
        <v>1</v>
      </c>
    </row>
    <row r="11" spans="1:11">
      <c r="A11" s="43" t="s">
        <v>121</v>
      </c>
      <c r="B11" s="41" t="s">
        <v>119</v>
      </c>
      <c r="C11" s="54">
        <f>'Input Information'!F80</f>
        <v>0.05</v>
      </c>
    </row>
    <row r="12" spans="1:11">
      <c r="A12" s="43" t="s">
        <v>40</v>
      </c>
      <c r="B12" s="41" t="s">
        <v>120</v>
      </c>
      <c r="C12" s="54">
        <f>'Input Information'!F81</f>
        <v>0.02</v>
      </c>
    </row>
    <row r="13" spans="1:11">
      <c r="A13" t="s">
        <v>39</v>
      </c>
      <c r="B13" s="11" t="s">
        <v>151</v>
      </c>
      <c r="C13" s="57">
        <f>'Input Information'!F82</f>
        <v>2.941176470588247E-2</v>
      </c>
    </row>
    <row r="14" spans="1:11" ht="30" customHeight="1">
      <c r="A14" s="40" t="s">
        <v>153</v>
      </c>
      <c r="B14" s="11" t="s">
        <v>44</v>
      </c>
      <c r="C14" s="63">
        <f>C8/(1+C13)^C9</f>
        <v>20465173.161817092</v>
      </c>
      <c r="D14" s="43"/>
      <c r="E14" s="271" t="s">
        <v>152</v>
      </c>
      <c r="F14" s="272"/>
      <c r="G14" s="272"/>
      <c r="H14" s="273"/>
    </row>
    <row r="15" spans="1:11">
      <c r="B15" s="11"/>
      <c r="E15" s="13"/>
      <c r="F15" s="13"/>
      <c r="G15" s="13"/>
      <c r="H15" s="13"/>
      <c r="I15" s="13"/>
      <c r="J15" s="13"/>
      <c r="K15" s="13"/>
    </row>
    <row r="16" spans="1:11">
      <c r="A16" s="10" t="s">
        <v>23</v>
      </c>
      <c r="B16" s="11"/>
      <c r="E16" s="13"/>
      <c r="F16" s="13"/>
      <c r="G16" s="13"/>
      <c r="H16" s="13"/>
      <c r="I16" s="13"/>
      <c r="J16" s="13"/>
      <c r="K16" s="13"/>
    </row>
    <row r="17" spans="1:11">
      <c r="A17" s="10"/>
      <c r="B17" s="11"/>
      <c r="E17" s="13"/>
      <c r="F17" s="13"/>
      <c r="G17" s="13"/>
      <c r="H17" s="13"/>
      <c r="I17" s="13"/>
      <c r="J17" s="13"/>
      <c r="K17" s="13"/>
    </row>
    <row r="18" spans="1:11" ht="53.25" customHeight="1">
      <c r="A18" s="28" t="s">
        <v>27</v>
      </c>
      <c r="B18" s="12" t="s">
        <v>45</v>
      </c>
      <c r="C18" s="115">
        <v>0.5</v>
      </c>
      <c r="D18" s="4"/>
      <c r="E18" s="271" t="s">
        <v>291</v>
      </c>
      <c r="F18" s="272"/>
      <c r="G18" s="272"/>
      <c r="H18" s="273"/>
      <c r="I18" s="13"/>
      <c r="J18" s="13"/>
      <c r="K18" s="13"/>
    </row>
    <row r="19" spans="1:11" ht="33.75">
      <c r="A19" s="28" t="s">
        <v>61</v>
      </c>
      <c r="B19" s="12" t="s">
        <v>29</v>
      </c>
      <c r="C19" s="116">
        <v>1000000</v>
      </c>
      <c r="D19" s="4"/>
      <c r="E19" s="262" t="s">
        <v>145</v>
      </c>
      <c r="F19" s="263"/>
      <c r="G19" s="263"/>
      <c r="H19" s="264"/>
      <c r="I19" s="13"/>
      <c r="J19" s="13"/>
      <c r="K19" s="13"/>
    </row>
    <row r="20" spans="1:11" ht="62.25" customHeight="1">
      <c r="A20" s="29" t="s">
        <v>238</v>
      </c>
      <c r="B20" s="12" t="s">
        <v>46</v>
      </c>
      <c r="C20" s="54">
        <f>'A-Capital'!C29</f>
        <v>0.5</v>
      </c>
      <c r="E20" s="262" t="s">
        <v>31</v>
      </c>
      <c r="F20" s="263"/>
      <c r="G20" s="263"/>
      <c r="H20" s="264"/>
      <c r="I20" s="17"/>
      <c r="J20" s="17"/>
      <c r="K20" s="17"/>
    </row>
    <row r="21" spans="1:11" ht="48" customHeight="1">
      <c r="A21" s="29" t="s">
        <v>280</v>
      </c>
      <c r="B21" s="33" t="s">
        <v>47</v>
      </c>
      <c r="C21" s="56">
        <f>$C$11/(1-(1/((1+$C$11)^($C$9-1))))</f>
        <v>5.8764624195990892E-2</v>
      </c>
      <c r="E21" s="262" t="s">
        <v>146</v>
      </c>
      <c r="F21" s="263"/>
      <c r="G21" s="263"/>
      <c r="H21" s="264"/>
      <c r="I21" s="17"/>
      <c r="J21" s="17"/>
      <c r="K21" s="17"/>
    </row>
    <row r="22" spans="1:11" ht="15.75" thickBot="1">
      <c r="A22" s="4"/>
      <c r="B22" s="11"/>
    </row>
    <row r="23" spans="1:11" ht="15" customHeight="1">
      <c r="B23" s="301" t="s">
        <v>156</v>
      </c>
      <c r="C23" s="302"/>
      <c r="D23" s="302"/>
      <c r="E23" s="302"/>
      <c r="F23" s="302"/>
      <c r="G23" s="303"/>
      <c r="H23" s="39"/>
      <c r="I23" s="24"/>
    </row>
    <row r="24" spans="1:11">
      <c r="B24" s="98" t="s">
        <v>68</v>
      </c>
      <c r="C24" s="99" t="s">
        <v>0</v>
      </c>
      <c r="D24" s="99" t="s">
        <v>66</v>
      </c>
      <c r="E24" s="99" t="str">
        <f>"Costs ("&amp;B27&amp;" €)"</f>
        <v>Costs (2012 €)</v>
      </c>
      <c r="F24" s="99" t="s">
        <v>67</v>
      </c>
      <c r="G24" s="100" t="s">
        <v>43</v>
      </c>
      <c r="H24" s="7"/>
      <c r="I24" s="7"/>
    </row>
    <row r="25" spans="1:11">
      <c r="B25" s="78" t="s">
        <v>3</v>
      </c>
      <c r="C25" s="79"/>
      <c r="D25" s="81"/>
      <c r="E25" s="81"/>
      <c r="F25" s="81">
        <f>SUM(F28:F67)</f>
        <v>5159000.3266136032</v>
      </c>
      <c r="G25" s="82"/>
      <c r="H25" s="22"/>
      <c r="I25" s="22"/>
    </row>
    <row r="26" spans="1:11">
      <c r="B26" s="83"/>
      <c r="C26" s="84"/>
      <c r="D26" s="84"/>
      <c r="E26" s="84"/>
      <c r="F26" s="84"/>
      <c r="G26" s="85"/>
      <c r="H26" s="21"/>
      <c r="I26" s="22"/>
    </row>
    <row r="27" spans="1:11">
      <c r="B27" s="86">
        <f>'Input Information'!G18</f>
        <v>2012</v>
      </c>
      <c r="C27" s="87">
        <v>0</v>
      </c>
      <c r="D27" s="88"/>
      <c r="E27" s="88"/>
      <c r="F27" s="88"/>
      <c r="G27" s="89"/>
      <c r="H27" s="21"/>
      <c r="I27" s="1"/>
    </row>
    <row r="28" spans="1:11">
      <c r="B28" s="86">
        <f t="shared" ref="B28:C43" si="0">B27+1</f>
        <v>2013</v>
      </c>
      <c r="C28" s="87">
        <f t="shared" si="0"/>
        <v>1</v>
      </c>
      <c r="D28" s="90">
        <f>$C$14*(1-$C$18)*$C$20*$C$21</f>
        <v>300657.05249001505</v>
      </c>
      <c r="E28" s="88">
        <f>D28/((1+$C$12)^(C28))</f>
        <v>294761.81616668141</v>
      </c>
      <c r="F28" s="88">
        <f>E28/((1+$C$13)^(C28))</f>
        <v>286340.04999049049</v>
      </c>
      <c r="G28" s="89"/>
      <c r="H28" s="1"/>
      <c r="I28" s="23"/>
    </row>
    <row r="29" spans="1:11">
      <c r="B29" s="86">
        <f t="shared" si="0"/>
        <v>2014</v>
      </c>
      <c r="C29" s="87">
        <f t="shared" si="0"/>
        <v>2</v>
      </c>
      <c r="D29" s="90">
        <f t="shared" ref="D29:D67" si="1">$C$14*(1-$C$18)*$C$20*$C$21</f>
        <v>300657.05249001505</v>
      </c>
      <c r="E29" s="88">
        <f t="shared" ref="E29:E67" si="2">D29/((1+$C$12)^(C29))</f>
        <v>288982.17271243274</v>
      </c>
      <c r="F29" s="88">
        <f t="shared" ref="F29:F67" si="3">E29/((1+$C$13)^(C29))</f>
        <v>272704.80951475282</v>
      </c>
      <c r="G29" s="89"/>
      <c r="H29" s="1"/>
      <c r="I29" s="23"/>
    </row>
    <row r="30" spans="1:11">
      <c r="B30" s="86">
        <f t="shared" si="0"/>
        <v>2015</v>
      </c>
      <c r="C30" s="87">
        <f t="shared" si="0"/>
        <v>3</v>
      </c>
      <c r="D30" s="90">
        <f t="shared" si="1"/>
        <v>300657.05249001505</v>
      </c>
      <c r="E30" s="88">
        <f t="shared" si="2"/>
        <v>283315.85560042429</v>
      </c>
      <c r="F30" s="88">
        <f t="shared" si="3"/>
        <v>259718.86620452648</v>
      </c>
      <c r="G30" s="89"/>
      <c r="H30" s="1"/>
      <c r="I30" s="23"/>
    </row>
    <row r="31" spans="1:11">
      <c r="B31" s="86">
        <f t="shared" si="0"/>
        <v>2016</v>
      </c>
      <c r="C31" s="87">
        <f t="shared" si="0"/>
        <v>4</v>
      </c>
      <c r="D31" s="90">
        <f t="shared" si="1"/>
        <v>300657.05249001505</v>
      </c>
      <c r="E31" s="88">
        <f t="shared" si="2"/>
        <v>277760.64274551399</v>
      </c>
      <c r="F31" s="88">
        <f t="shared" si="3"/>
        <v>247351.30114716804</v>
      </c>
      <c r="G31" s="89"/>
      <c r="H31" s="1"/>
      <c r="I31" s="23"/>
    </row>
    <row r="32" spans="1:11">
      <c r="B32" s="86">
        <f t="shared" si="0"/>
        <v>2017</v>
      </c>
      <c r="C32" s="87">
        <f t="shared" si="0"/>
        <v>5</v>
      </c>
      <c r="D32" s="90">
        <f t="shared" si="1"/>
        <v>300657.05249001505</v>
      </c>
      <c r="E32" s="88">
        <f t="shared" si="2"/>
        <v>272314.35563285684</v>
      </c>
      <c r="F32" s="88">
        <f t="shared" si="3"/>
        <v>235572.66775920763</v>
      </c>
      <c r="G32" s="89"/>
      <c r="H32" s="1"/>
      <c r="I32" s="23"/>
    </row>
    <row r="33" spans="2:9">
      <c r="B33" s="86">
        <f t="shared" si="0"/>
        <v>2018</v>
      </c>
      <c r="C33" s="87">
        <f t="shared" si="0"/>
        <v>6</v>
      </c>
      <c r="D33" s="90">
        <f t="shared" si="1"/>
        <v>300657.05249001505</v>
      </c>
      <c r="E33" s="88">
        <f t="shared" si="2"/>
        <v>266974.85846358514</v>
      </c>
      <c r="F33" s="88">
        <f t="shared" si="3"/>
        <v>224354.92167543582</v>
      </c>
      <c r="G33" s="89"/>
      <c r="H33" s="1"/>
      <c r="I33" s="23"/>
    </row>
    <row r="34" spans="2:9">
      <c r="B34" s="86">
        <f t="shared" si="0"/>
        <v>2019</v>
      </c>
      <c r="C34" s="87">
        <f t="shared" si="0"/>
        <v>7</v>
      </c>
      <c r="D34" s="90">
        <f t="shared" si="1"/>
        <v>300657.05249001505</v>
      </c>
      <c r="E34" s="88">
        <f t="shared" si="2"/>
        <v>261740.0573172404</v>
      </c>
      <c r="F34" s="88">
        <f t="shared" si="3"/>
        <v>213671.35397660558</v>
      </c>
      <c r="G34" s="89"/>
      <c r="H34" s="1"/>
      <c r="I34" s="23"/>
    </row>
    <row r="35" spans="2:9">
      <c r="B35" s="86">
        <f t="shared" si="0"/>
        <v>2020</v>
      </c>
      <c r="C35" s="87">
        <f t="shared" si="0"/>
        <v>8</v>
      </c>
      <c r="D35" s="90">
        <f t="shared" si="1"/>
        <v>300657.05249001505</v>
      </c>
      <c r="E35" s="88">
        <f t="shared" si="2"/>
        <v>256607.89933062781</v>
      </c>
      <c r="F35" s="88">
        <f t="shared" si="3"/>
        <v>203496.52759676718</v>
      </c>
      <c r="G35" s="89"/>
      <c r="H35" s="1"/>
      <c r="I35" s="23"/>
    </row>
    <row r="36" spans="2:9">
      <c r="B36" s="86">
        <f t="shared" si="0"/>
        <v>2021</v>
      </c>
      <c r="C36" s="87">
        <f t="shared" si="0"/>
        <v>9</v>
      </c>
      <c r="D36" s="90">
        <f t="shared" si="1"/>
        <v>300657.05249001505</v>
      </c>
      <c r="E36" s="88">
        <f t="shared" si="2"/>
        <v>251576.37189277235</v>
      </c>
      <c r="F36" s="88">
        <f t="shared" si="3"/>
        <v>193806.21675882585</v>
      </c>
      <c r="G36" s="89"/>
      <c r="H36" s="1"/>
      <c r="I36" s="23"/>
    </row>
    <row r="37" spans="2:9">
      <c r="B37" s="86">
        <f t="shared" si="0"/>
        <v>2022</v>
      </c>
      <c r="C37" s="87">
        <f t="shared" si="0"/>
        <v>10</v>
      </c>
      <c r="D37" s="90">
        <f t="shared" si="1"/>
        <v>300657.05249001505</v>
      </c>
      <c r="E37" s="88">
        <f t="shared" si="2"/>
        <v>246643.50185565918</v>
      </c>
      <c r="F37" s="88">
        <f t="shared" si="3"/>
        <v>184577.34929411986</v>
      </c>
      <c r="G37" s="96"/>
      <c r="H37" s="1"/>
      <c r="I37" s="23"/>
    </row>
    <row r="38" spans="2:9">
      <c r="B38" s="86">
        <f t="shared" si="0"/>
        <v>2023</v>
      </c>
      <c r="C38" s="87">
        <f t="shared" si="0"/>
        <v>11</v>
      </c>
      <c r="D38" s="90">
        <f t="shared" si="1"/>
        <v>300657.05249001505</v>
      </c>
      <c r="E38" s="88">
        <f t="shared" si="2"/>
        <v>241807.35476045022</v>
      </c>
      <c r="F38" s="88">
        <f t="shared" si="3"/>
        <v>175787.95170868558</v>
      </c>
      <c r="G38" s="89"/>
      <c r="H38" s="1"/>
      <c r="I38" s="23"/>
    </row>
    <row r="39" spans="2:9">
      <c r="B39" s="86">
        <f t="shared" si="0"/>
        <v>2024</v>
      </c>
      <c r="C39" s="87">
        <f t="shared" si="0"/>
        <v>12</v>
      </c>
      <c r="D39" s="90">
        <f t="shared" si="1"/>
        <v>300657.05249001505</v>
      </c>
      <c r="E39" s="88">
        <f t="shared" si="2"/>
        <v>237066.0340788727</v>
      </c>
      <c r="F39" s="88">
        <f t="shared" si="3"/>
        <v>167417.09686541479</v>
      </c>
      <c r="G39" s="89"/>
      <c r="H39" s="1"/>
      <c r="I39" s="23"/>
    </row>
    <row r="40" spans="2:9">
      <c r="B40" s="86">
        <f t="shared" si="0"/>
        <v>2025</v>
      </c>
      <c r="C40" s="87">
        <f t="shared" si="0"/>
        <v>13</v>
      </c>
      <c r="D40" s="90">
        <f t="shared" si="1"/>
        <v>300657.05249001505</v>
      </c>
      <c r="E40" s="88">
        <f t="shared" si="2"/>
        <v>232417.68046948308</v>
      </c>
      <c r="F40" s="88">
        <f t="shared" si="3"/>
        <v>159444.85415753789</v>
      </c>
      <c r="G40" s="89"/>
      <c r="H40" s="1"/>
      <c r="I40" s="23"/>
    </row>
    <row r="41" spans="2:9">
      <c r="B41" s="86">
        <f t="shared" si="0"/>
        <v>2026</v>
      </c>
      <c r="C41" s="87">
        <f t="shared" si="0"/>
        <v>14</v>
      </c>
      <c r="D41" s="90">
        <f t="shared" si="1"/>
        <v>300657.05249001505</v>
      </c>
      <c r="E41" s="88">
        <f t="shared" si="2"/>
        <v>227860.47104851279</v>
      </c>
      <c r="F41" s="88">
        <f t="shared" si="3"/>
        <v>151852.24205479797</v>
      </c>
      <c r="G41" s="89"/>
      <c r="H41" s="1"/>
      <c r="I41" s="23"/>
    </row>
    <row r="42" spans="2:9">
      <c r="B42" s="86">
        <f t="shared" si="0"/>
        <v>2027</v>
      </c>
      <c r="C42" s="87">
        <f t="shared" si="0"/>
        <v>15</v>
      </c>
      <c r="D42" s="90">
        <f t="shared" si="1"/>
        <v>300657.05249001505</v>
      </c>
      <c r="E42" s="88">
        <f t="shared" si="2"/>
        <v>223392.61867501261</v>
      </c>
      <c r="F42" s="88">
        <f t="shared" si="3"/>
        <v>144621.18290933143</v>
      </c>
      <c r="G42" s="89"/>
      <c r="H42" s="1"/>
      <c r="I42" s="23"/>
    </row>
    <row r="43" spans="2:9">
      <c r="B43" s="86">
        <f t="shared" si="0"/>
        <v>2028</v>
      </c>
      <c r="C43" s="87">
        <f t="shared" si="0"/>
        <v>16</v>
      </c>
      <c r="D43" s="90">
        <f t="shared" si="1"/>
        <v>300657.05249001505</v>
      </c>
      <c r="E43" s="88">
        <f t="shared" si="2"/>
        <v>219012.37125001231</v>
      </c>
      <c r="F43" s="88">
        <f t="shared" si="3"/>
        <v>137734.45991364893</v>
      </c>
      <c r="G43" s="89"/>
      <c r="H43" s="1"/>
      <c r="I43" s="23"/>
    </row>
    <row r="44" spans="2:9">
      <c r="B44" s="86">
        <f t="shared" ref="B44:C59" si="4">B43+1</f>
        <v>2029</v>
      </c>
      <c r="C44" s="87">
        <f t="shared" si="4"/>
        <v>17</v>
      </c>
      <c r="D44" s="90">
        <f t="shared" si="1"/>
        <v>300657.05249001505</v>
      </c>
      <c r="E44" s="88">
        <f t="shared" si="2"/>
        <v>214718.01102942383</v>
      </c>
      <c r="F44" s="88">
        <f t="shared" si="3"/>
        <v>131175.67610823706</v>
      </c>
      <c r="G44" s="89"/>
      <c r="H44" s="1"/>
      <c r="I44" s="23"/>
    </row>
    <row r="45" spans="2:9">
      <c r="B45" s="86">
        <f t="shared" si="4"/>
        <v>2030</v>
      </c>
      <c r="C45" s="87">
        <f t="shared" si="4"/>
        <v>18</v>
      </c>
      <c r="D45" s="90">
        <f t="shared" si="1"/>
        <v>300657.05249001505</v>
      </c>
      <c r="E45" s="88">
        <f t="shared" si="2"/>
        <v>210507.85395041553</v>
      </c>
      <c r="F45" s="88">
        <f t="shared" si="3"/>
        <v>124929.21534117816</v>
      </c>
      <c r="G45" s="89"/>
      <c r="H45" s="1"/>
      <c r="I45" s="23"/>
    </row>
    <row r="46" spans="2:9">
      <c r="B46" s="86">
        <f t="shared" si="4"/>
        <v>2031</v>
      </c>
      <c r="C46" s="87">
        <f t="shared" si="4"/>
        <v>19</v>
      </c>
      <c r="D46" s="90">
        <f t="shared" si="1"/>
        <v>300657.05249001505</v>
      </c>
      <c r="E46" s="88">
        <f t="shared" si="2"/>
        <v>206380.24897099563</v>
      </c>
      <c r="F46" s="88">
        <f t="shared" si="3"/>
        <v>118980.20508683633</v>
      </c>
      <c r="G46" s="89"/>
      <c r="H46" s="1"/>
      <c r="I46" s="23"/>
    </row>
    <row r="47" spans="2:9">
      <c r="B47" s="86">
        <f t="shared" si="4"/>
        <v>2032</v>
      </c>
      <c r="C47" s="87">
        <f t="shared" si="4"/>
        <v>20</v>
      </c>
      <c r="D47" s="90">
        <f t="shared" si="1"/>
        <v>300657.05249001505</v>
      </c>
      <c r="E47" s="88">
        <f t="shared" si="2"/>
        <v>202333.57742254471</v>
      </c>
      <c r="F47" s="88">
        <f t="shared" si="3"/>
        <v>113314.48103508219</v>
      </c>
      <c r="G47" s="89"/>
      <c r="H47" s="1"/>
      <c r="I47" s="23"/>
    </row>
    <row r="48" spans="2:9">
      <c r="B48" s="86">
        <f t="shared" si="4"/>
        <v>2033</v>
      </c>
      <c r="C48" s="87">
        <f t="shared" si="4"/>
        <v>21</v>
      </c>
      <c r="D48" s="90">
        <f t="shared" si="1"/>
        <v>300657.05249001505</v>
      </c>
      <c r="E48" s="88">
        <f t="shared" si="2"/>
        <v>198366.25237504384</v>
      </c>
      <c r="F48" s="88">
        <f t="shared" si="3"/>
        <v>107918.55336674495</v>
      </c>
      <c r="G48" s="89"/>
      <c r="H48" s="1"/>
      <c r="I48" s="23"/>
    </row>
    <row r="49" spans="2:9">
      <c r="B49" s="86">
        <f t="shared" si="4"/>
        <v>2034</v>
      </c>
      <c r="C49" s="87">
        <f t="shared" si="4"/>
        <v>22</v>
      </c>
      <c r="D49" s="90">
        <f t="shared" si="1"/>
        <v>300657.05249001505</v>
      </c>
      <c r="E49" s="88">
        <f t="shared" si="2"/>
        <v>194476.71801474885</v>
      </c>
      <c r="F49" s="88">
        <f t="shared" si="3"/>
        <v>102779.57463499518</v>
      </c>
      <c r="G49" s="89"/>
      <c r="H49" s="1"/>
      <c r="I49" s="23"/>
    </row>
    <row r="50" spans="2:9">
      <c r="B50" s="86">
        <f t="shared" si="4"/>
        <v>2035</v>
      </c>
      <c r="C50" s="87">
        <f t="shared" si="4"/>
        <v>23</v>
      </c>
      <c r="D50" s="90">
        <f t="shared" si="1"/>
        <v>300657.05249001505</v>
      </c>
      <c r="E50" s="88">
        <f t="shared" si="2"/>
        <v>190663.44903406754</v>
      </c>
      <c r="F50" s="88">
        <f t="shared" si="3"/>
        <v>97885.309176185896</v>
      </c>
      <c r="G50" s="89"/>
      <c r="H50" s="1"/>
      <c r="I50" s="23"/>
    </row>
    <row r="51" spans="2:9">
      <c r="B51" s="86">
        <f t="shared" si="4"/>
        <v>2036</v>
      </c>
      <c r="C51" s="87">
        <f t="shared" si="4"/>
        <v>24</v>
      </c>
      <c r="D51" s="90">
        <f t="shared" si="1"/>
        <v>300657.05249001505</v>
      </c>
      <c r="E51" s="88">
        <f t="shared" si="2"/>
        <v>186924.95003339954</v>
      </c>
      <c r="F51" s="88">
        <f t="shared" si="3"/>
        <v>93224.103977319872</v>
      </c>
      <c r="G51" s="89"/>
      <c r="H51" s="1"/>
      <c r="I51" s="23"/>
    </row>
    <row r="52" spans="2:9">
      <c r="B52" s="86">
        <f t="shared" si="4"/>
        <v>2037</v>
      </c>
      <c r="C52" s="87">
        <f t="shared" si="4"/>
        <v>25</v>
      </c>
      <c r="D52" s="90">
        <f t="shared" si="1"/>
        <v>300657.05249001505</v>
      </c>
      <c r="E52" s="88">
        <f t="shared" si="2"/>
        <v>183259.75493470544</v>
      </c>
      <c r="F52" s="88">
        <f t="shared" si="3"/>
        <v>88784.860930780836</v>
      </c>
      <c r="G52" s="89"/>
      <c r="H52" s="1"/>
      <c r="I52" s="23"/>
    </row>
    <row r="53" spans="2:9">
      <c r="B53" s="86">
        <f t="shared" si="4"/>
        <v>2038</v>
      </c>
      <c r="C53" s="87">
        <f t="shared" si="4"/>
        <v>26</v>
      </c>
      <c r="D53" s="90">
        <f t="shared" si="1"/>
        <v>300657.05249001505</v>
      </c>
      <c r="E53" s="88">
        <f t="shared" si="2"/>
        <v>179666.42640657394</v>
      </c>
      <c r="F53" s="88">
        <f t="shared" si="3"/>
        <v>84557.010410267438</v>
      </c>
      <c r="G53" s="89"/>
      <c r="H53" s="1"/>
      <c r="I53" s="23"/>
    </row>
    <row r="54" spans="2:9">
      <c r="B54" s="86">
        <f t="shared" si="4"/>
        <v>2039</v>
      </c>
      <c r="C54" s="87">
        <f t="shared" si="4"/>
        <v>27</v>
      </c>
      <c r="D54" s="90">
        <f t="shared" si="1"/>
        <v>300657.05249001505</v>
      </c>
      <c r="E54" s="88">
        <f t="shared" si="2"/>
        <v>176143.55530056273</v>
      </c>
      <c r="F54" s="88">
        <f t="shared" si="3"/>
        <v>80530.486105016622</v>
      </c>
      <c r="G54" s="89"/>
      <c r="H54" s="1"/>
      <c r="I54" s="23"/>
    </row>
    <row r="55" spans="2:9">
      <c r="B55" s="86">
        <f t="shared" si="4"/>
        <v>2040</v>
      </c>
      <c r="C55" s="87">
        <f t="shared" si="4"/>
        <v>28</v>
      </c>
      <c r="D55" s="90">
        <f t="shared" si="1"/>
        <v>300657.05249001505</v>
      </c>
      <c r="E55" s="88">
        <f t="shared" si="2"/>
        <v>172689.76009859086</v>
      </c>
      <c r="F55" s="88">
        <f t="shared" si="3"/>
        <v>76695.701052396762</v>
      </c>
      <c r="G55" s="89"/>
      <c r="H55" s="1"/>
      <c r="I55" s="23"/>
    </row>
    <row r="56" spans="2:9">
      <c r="B56" s="86">
        <f t="shared" si="4"/>
        <v>2041</v>
      </c>
      <c r="C56" s="87">
        <f t="shared" si="4"/>
        <v>29</v>
      </c>
      <c r="D56" s="90">
        <f t="shared" si="1"/>
        <v>300657.05249001505</v>
      </c>
      <c r="E56" s="88">
        <f t="shared" si="2"/>
        <v>169303.68637116754</v>
      </c>
      <c r="F56" s="88">
        <f t="shared" si="3"/>
        <v>73043.524811806434</v>
      </c>
      <c r="G56" s="89"/>
      <c r="H56" s="1"/>
      <c r="I56" s="23"/>
    </row>
    <row r="57" spans="2:9">
      <c r="B57" s="86">
        <f t="shared" si="4"/>
        <v>2042</v>
      </c>
      <c r="C57" s="87">
        <f t="shared" si="4"/>
        <v>30</v>
      </c>
      <c r="D57" s="90">
        <f t="shared" si="1"/>
        <v>300657.05249001505</v>
      </c>
      <c r="E57" s="88">
        <f t="shared" si="2"/>
        <v>165984.00624624267</v>
      </c>
      <c r="F57" s="88">
        <f t="shared" si="3"/>
        <v>69565.261725529926</v>
      </c>
      <c r="G57" s="89"/>
      <c r="H57" s="1"/>
      <c r="I57" s="23"/>
    </row>
    <row r="58" spans="2:9">
      <c r="B58" s="86">
        <f t="shared" si="4"/>
        <v>2043</v>
      </c>
      <c r="C58" s="87">
        <f t="shared" si="4"/>
        <v>31</v>
      </c>
      <c r="D58" s="90">
        <f t="shared" si="1"/>
        <v>300657.05249001505</v>
      </c>
      <c r="E58" s="88">
        <f t="shared" si="2"/>
        <v>162729.41788847325</v>
      </c>
      <c r="F58" s="88">
        <f t="shared" si="3"/>
        <v>66252.630214790435</v>
      </c>
      <c r="G58" s="89"/>
      <c r="H58" s="1"/>
      <c r="I58" s="23"/>
    </row>
    <row r="59" spans="2:9">
      <c r="B59" s="86">
        <f t="shared" si="4"/>
        <v>2044</v>
      </c>
      <c r="C59" s="87">
        <f t="shared" si="4"/>
        <v>32</v>
      </c>
      <c r="D59" s="90">
        <f t="shared" si="1"/>
        <v>300657.05249001505</v>
      </c>
      <c r="E59" s="88">
        <f t="shared" si="2"/>
        <v>159538.64498869923</v>
      </c>
      <c r="F59" s="88">
        <f t="shared" si="3"/>
        <v>63097.74306170515</v>
      </c>
      <c r="G59" s="89"/>
      <c r="H59" s="1"/>
      <c r="I59" s="23"/>
    </row>
    <row r="60" spans="2:9">
      <c r="B60" s="86">
        <f t="shared" ref="B60:C67" si="5">B59+1</f>
        <v>2045</v>
      </c>
      <c r="C60" s="87">
        <f t="shared" si="5"/>
        <v>33</v>
      </c>
      <c r="D60" s="90">
        <f t="shared" si="1"/>
        <v>300657.05249001505</v>
      </c>
      <c r="E60" s="88">
        <f t="shared" si="2"/>
        <v>156410.4362634306</v>
      </c>
      <c r="F60" s="88">
        <f t="shared" si="3"/>
        <v>60093.088630195358</v>
      </c>
      <c r="G60" s="89"/>
      <c r="H60" s="1"/>
      <c r="I60" s="23"/>
    </row>
    <row r="61" spans="2:9">
      <c r="B61" s="86">
        <f t="shared" si="5"/>
        <v>2046</v>
      </c>
      <c r="C61" s="87">
        <f t="shared" si="5"/>
        <v>34</v>
      </c>
      <c r="D61" s="90">
        <f t="shared" si="1"/>
        <v>300657.05249001505</v>
      </c>
      <c r="E61" s="88">
        <f t="shared" si="2"/>
        <v>153343.56496414766</v>
      </c>
      <c r="F61" s="88">
        <f t="shared" si="3"/>
        <v>57231.512981138447</v>
      </c>
      <c r="G61" s="89"/>
      <c r="H61" s="1"/>
      <c r="I61" s="23"/>
    </row>
    <row r="62" spans="2:9">
      <c r="B62" s="86">
        <f t="shared" si="5"/>
        <v>2047</v>
      </c>
      <c r="C62" s="87">
        <f t="shared" si="5"/>
        <v>35</v>
      </c>
      <c r="D62" s="90">
        <f t="shared" si="1"/>
        <v>300657.05249001505</v>
      </c>
      <c r="E62" s="88">
        <f t="shared" si="2"/>
        <v>150336.82839622319</v>
      </c>
      <c r="F62" s="88">
        <f t="shared" si="3"/>
        <v>54506.202839179467</v>
      </c>
      <c r="G62" s="89"/>
      <c r="H62" s="1"/>
      <c r="I62" s="23"/>
    </row>
    <row r="63" spans="2:9">
      <c r="B63" s="86">
        <f t="shared" si="5"/>
        <v>2048</v>
      </c>
      <c r="C63" s="87">
        <f t="shared" si="5"/>
        <v>36</v>
      </c>
      <c r="D63" s="90">
        <f t="shared" si="1"/>
        <v>300657.05249001505</v>
      </c>
      <c r="E63" s="88">
        <f t="shared" si="2"/>
        <v>147389.04744727767</v>
      </c>
      <c r="F63" s="88">
        <f t="shared" si="3"/>
        <v>51910.669370647112</v>
      </c>
      <c r="G63" s="89"/>
      <c r="H63" s="1"/>
      <c r="I63" s="23"/>
    </row>
    <row r="64" spans="2:9">
      <c r="B64" s="86">
        <f t="shared" si="5"/>
        <v>2049</v>
      </c>
      <c r="C64" s="87">
        <f t="shared" si="5"/>
        <v>37</v>
      </c>
      <c r="D64" s="90">
        <f t="shared" si="1"/>
        <v>300657.05249001505</v>
      </c>
      <c r="E64" s="88">
        <f t="shared" si="2"/>
        <v>144499.066124782</v>
      </c>
      <c r="F64" s="88">
        <f t="shared" si="3"/>
        <v>49438.732733949619</v>
      </c>
      <c r="G64" s="89"/>
      <c r="H64" s="1"/>
      <c r="I64" s="23"/>
    </row>
    <row r="65" spans="2:9">
      <c r="B65" s="86">
        <f t="shared" si="5"/>
        <v>2050</v>
      </c>
      <c r="C65" s="87">
        <f t="shared" si="5"/>
        <v>38</v>
      </c>
      <c r="D65" s="90">
        <f t="shared" si="1"/>
        <v>300657.05249001505</v>
      </c>
      <c r="E65" s="88">
        <f t="shared" si="2"/>
        <v>141665.75110272743</v>
      </c>
      <c r="F65" s="88">
        <f t="shared" si="3"/>
        <v>47084.507365666293</v>
      </c>
      <c r="G65" s="89"/>
      <c r="H65" s="1"/>
      <c r="I65" s="23"/>
    </row>
    <row r="66" spans="2:9">
      <c r="B66" s="86">
        <f t="shared" si="5"/>
        <v>2051</v>
      </c>
      <c r="C66" s="87">
        <f t="shared" si="5"/>
        <v>39</v>
      </c>
      <c r="D66" s="90">
        <f t="shared" si="1"/>
        <v>300657.05249001505</v>
      </c>
      <c r="E66" s="88">
        <f t="shared" si="2"/>
        <v>138887.99127718381</v>
      </c>
      <c r="F66" s="88">
        <f t="shared" si="3"/>
        <v>44842.387967301249</v>
      </c>
      <c r="G66" s="89"/>
      <c r="H66" s="1"/>
      <c r="I66" s="23"/>
    </row>
    <row r="67" spans="2:9" ht="15.75" thickBot="1">
      <c r="B67" s="51">
        <f t="shared" si="5"/>
        <v>2052</v>
      </c>
      <c r="C67" s="92">
        <f t="shared" si="5"/>
        <v>40</v>
      </c>
      <c r="D67" s="93">
        <f t="shared" si="1"/>
        <v>300657.05249001505</v>
      </c>
      <c r="E67" s="94">
        <f t="shared" si="2"/>
        <v>136164.69733057232</v>
      </c>
      <c r="F67" s="94">
        <f t="shared" si="3"/>
        <v>42707.036159334501</v>
      </c>
      <c r="G67" s="97"/>
      <c r="H67" s="1"/>
      <c r="I67" s="23"/>
    </row>
    <row r="68" spans="2:9">
      <c r="B68" s="34"/>
      <c r="C68" s="34"/>
      <c r="D68" s="35"/>
      <c r="E68" s="36"/>
      <c r="F68" s="36"/>
      <c r="G68" s="30"/>
      <c r="H68" s="30"/>
    </row>
  </sheetData>
  <sheetProtection password="C907" sheet="1" objects="1" scenarios="1"/>
  <mergeCells count="10">
    <mergeCell ref="A3:F5"/>
    <mergeCell ref="B23:G23"/>
    <mergeCell ref="E21:H21"/>
    <mergeCell ref="E7:H7"/>
    <mergeCell ref="E9:H9"/>
    <mergeCell ref="E18:H18"/>
    <mergeCell ref="E19:H19"/>
    <mergeCell ref="E20:H20"/>
    <mergeCell ref="E8:H8"/>
    <mergeCell ref="E14:H14"/>
  </mergeCells>
  <pageMargins left="0.70866141732283472" right="0.70866141732283472" top="0.74803149606299213" bottom="0.74803149606299213" header="0.31496062992125984" footer="0.31496062992125984"/>
  <pageSetup paperSize="9" scale="50" fitToHeight="2"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K87"/>
  <sheetViews>
    <sheetView zoomScaleNormal="100" workbookViewId="0">
      <selection activeCell="D13" sqref="D13"/>
    </sheetView>
  </sheetViews>
  <sheetFormatPr defaultRowHeight="15"/>
  <cols>
    <col min="1" max="1" width="46.140625" customWidth="1"/>
    <col min="2" max="2" width="12" style="26" customWidth="1"/>
    <col min="3" max="3" width="19" customWidth="1"/>
    <col min="4" max="4" width="16" customWidth="1"/>
    <col min="5" max="5" width="18" customWidth="1"/>
    <col min="6" max="6" width="21" customWidth="1"/>
    <col min="7" max="7" width="22" customWidth="1"/>
    <col min="8" max="8" width="19" customWidth="1"/>
    <col min="9" max="9" width="21.5703125" customWidth="1"/>
  </cols>
  <sheetData>
    <row r="1" spans="1:11" ht="18.75">
      <c r="A1" s="38" t="s">
        <v>230</v>
      </c>
      <c r="D1" s="37" t="s">
        <v>150</v>
      </c>
    </row>
    <row r="2" spans="1:11">
      <c r="A2" s="38"/>
      <c r="B2" s="140"/>
      <c r="D2" s="37"/>
    </row>
    <row r="3" spans="1:11">
      <c r="A3" s="292" t="s">
        <v>266</v>
      </c>
      <c r="B3" s="293"/>
      <c r="C3" s="293"/>
      <c r="D3" s="293"/>
      <c r="E3" s="293"/>
      <c r="F3" s="294"/>
    </row>
    <row r="4" spans="1:11">
      <c r="A4" s="295"/>
      <c r="B4" s="296"/>
      <c r="C4" s="296"/>
      <c r="D4" s="296"/>
      <c r="E4" s="296"/>
      <c r="F4" s="297"/>
    </row>
    <row r="5" spans="1:11">
      <c r="A5" s="298"/>
      <c r="B5" s="299"/>
      <c r="C5" s="299"/>
      <c r="D5" s="299"/>
      <c r="E5" s="299"/>
      <c r="F5" s="300"/>
    </row>
    <row r="7" spans="1:11">
      <c r="A7" s="25" t="s">
        <v>35</v>
      </c>
      <c r="B7" s="25" t="s">
        <v>24</v>
      </c>
      <c r="E7" s="289" t="s">
        <v>22</v>
      </c>
      <c r="F7" s="290"/>
      <c r="G7" s="290"/>
      <c r="H7" s="291"/>
      <c r="I7" s="18"/>
      <c r="J7" s="18"/>
      <c r="K7" s="18"/>
    </row>
    <row r="8" spans="1:11" ht="17.25" customHeight="1">
      <c r="A8" s="108" t="s">
        <v>166</v>
      </c>
      <c r="B8" s="11" t="s">
        <v>137</v>
      </c>
      <c r="C8" s="109">
        <f>'Input Information'!G67</f>
        <v>2500000</v>
      </c>
      <c r="E8" s="312" t="str">
        <f>"Identified at a first glace as annual expenses in "&amp;B46&amp;" currency; if any additional sub-categories were identified on that worksheet, they will be included in the total but not shown in this subcost list"</f>
        <v>Identified at a first glace as annual expenses in 2012 currency; if any additional sub-categories were identified on that worksheet, they will be included in the total but not shown in this subcost list</v>
      </c>
      <c r="F8" s="313"/>
      <c r="G8" s="313"/>
      <c r="H8" s="314"/>
      <c r="I8" s="32"/>
      <c r="J8" s="32"/>
      <c r="K8" s="32"/>
    </row>
    <row r="9" spans="1:11">
      <c r="A9" s="13" t="s">
        <v>16</v>
      </c>
      <c r="B9" s="11"/>
      <c r="C9" s="52">
        <f>'Input Information'!G68</f>
        <v>0</v>
      </c>
      <c r="E9" s="315"/>
      <c r="F9" s="316"/>
      <c r="G9" s="316"/>
      <c r="H9" s="317"/>
      <c r="I9" s="32"/>
      <c r="J9" s="32"/>
      <c r="K9" s="32"/>
    </row>
    <row r="10" spans="1:11">
      <c r="A10" s="13" t="s">
        <v>17</v>
      </c>
      <c r="B10" s="11"/>
      <c r="C10" s="52">
        <f>'Input Information'!G69</f>
        <v>1000000</v>
      </c>
      <c r="E10" s="315"/>
      <c r="F10" s="316"/>
      <c r="G10" s="316"/>
      <c r="H10" s="317"/>
      <c r="I10" s="32"/>
      <c r="J10" s="32"/>
      <c r="K10" s="32"/>
    </row>
    <row r="11" spans="1:11">
      <c r="A11" s="13" t="s">
        <v>19</v>
      </c>
      <c r="B11" s="11"/>
      <c r="C11" s="52">
        <f>'Input Information'!G70</f>
        <v>500000</v>
      </c>
      <c r="E11" s="315"/>
      <c r="F11" s="316"/>
      <c r="G11" s="316"/>
      <c r="H11" s="317"/>
      <c r="I11" s="32"/>
      <c r="J11" s="32"/>
      <c r="K11" s="32"/>
    </row>
    <row r="12" spans="1:11">
      <c r="A12" s="13" t="s">
        <v>18</v>
      </c>
      <c r="B12" s="11"/>
      <c r="C12" s="52">
        <f>'Input Information'!G71</f>
        <v>1000000</v>
      </c>
      <c r="E12" s="315"/>
      <c r="F12" s="316"/>
      <c r="G12" s="316"/>
      <c r="H12" s="317"/>
      <c r="I12" s="32"/>
      <c r="J12" s="32"/>
      <c r="K12" s="32"/>
    </row>
    <row r="13" spans="1:11">
      <c r="A13" s="13" t="s">
        <v>164</v>
      </c>
      <c r="B13" s="11"/>
      <c r="C13" s="52">
        <f>'Input Information'!G72</f>
        <v>0</v>
      </c>
      <c r="E13" s="315"/>
      <c r="F13" s="316"/>
      <c r="G13" s="316"/>
      <c r="H13" s="317"/>
      <c r="I13" s="32"/>
      <c r="J13" s="32"/>
      <c r="K13" s="32"/>
    </row>
    <row r="14" spans="1:11">
      <c r="A14" s="13" t="s">
        <v>165</v>
      </c>
      <c r="B14" s="11"/>
      <c r="C14" s="52">
        <f>'Input Information'!G74</f>
        <v>0</v>
      </c>
      <c r="E14" s="318"/>
      <c r="F14" s="319"/>
      <c r="G14" s="319"/>
      <c r="H14" s="320"/>
      <c r="I14" s="32"/>
      <c r="J14" s="32"/>
      <c r="K14" s="32"/>
    </row>
    <row r="15" spans="1:11" ht="30" customHeight="1">
      <c r="A15" s="40" t="s">
        <v>36</v>
      </c>
      <c r="B15" s="41"/>
      <c r="C15" s="53">
        <f>'Input Information'!G17</f>
        <v>40</v>
      </c>
      <c r="D15" s="40" t="s">
        <v>37</v>
      </c>
      <c r="E15" s="271" t="s">
        <v>232</v>
      </c>
      <c r="F15" s="272"/>
      <c r="G15" s="272"/>
      <c r="H15" s="273"/>
    </row>
    <row r="16" spans="1:11">
      <c r="A16" s="43" t="s">
        <v>122</v>
      </c>
      <c r="B16" s="41" t="s">
        <v>118</v>
      </c>
      <c r="C16" s="53">
        <f>'Input Information'!G34</f>
        <v>1</v>
      </c>
      <c r="D16" s="43"/>
      <c r="E16" s="34"/>
      <c r="F16" s="34"/>
      <c r="G16" s="34"/>
      <c r="H16" s="34"/>
    </row>
    <row r="17" spans="1:11">
      <c r="A17" s="43" t="s">
        <v>121</v>
      </c>
      <c r="B17" s="41" t="s">
        <v>119</v>
      </c>
      <c r="C17" s="54">
        <f>'Input Information'!F80</f>
        <v>0.05</v>
      </c>
      <c r="D17" s="43"/>
      <c r="E17" s="34"/>
      <c r="F17" s="34"/>
      <c r="G17" s="34"/>
      <c r="H17" s="34"/>
    </row>
    <row r="18" spans="1:11">
      <c r="A18" s="43" t="s">
        <v>40</v>
      </c>
      <c r="B18" s="41" t="s">
        <v>120</v>
      </c>
      <c r="C18" s="54">
        <f>'Input Information'!F81</f>
        <v>0.02</v>
      </c>
      <c r="D18" s="43"/>
      <c r="E18" s="34"/>
      <c r="F18" s="34"/>
      <c r="G18" s="34"/>
      <c r="H18" s="34"/>
    </row>
    <row r="19" spans="1:11">
      <c r="A19" s="43" t="s">
        <v>39</v>
      </c>
      <c r="B19" s="41"/>
      <c r="C19" s="57">
        <f>'Input Information'!F82</f>
        <v>2.941176470588247E-2</v>
      </c>
      <c r="D19" s="43"/>
      <c r="E19" s="34"/>
      <c r="F19" s="34"/>
      <c r="G19" s="34"/>
      <c r="H19" s="34"/>
    </row>
    <row r="20" spans="1:11">
      <c r="B20" s="11"/>
      <c r="E20" s="45"/>
      <c r="F20" s="45"/>
      <c r="G20" s="45"/>
      <c r="H20" s="45"/>
    </row>
    <row r="21" spans="1:11">
      <c r="A21" s="10" t="s">
        <v>23</v>
      </c>
      <c r="B21" s="11"/>
      <c r="E21" s="46"/>
      <c r="F21" s="46"/>
      <c r="G21" s="46"/>
      <c r="H21" s="46"/>
      <c r="I21" s="13"/>
      <c r="J21" s="13"/>
      <c r="K21" s="13"/>
    </row>
    <row r="22" spans="1:11">
      <c r="A22" s="10"/>
      <c r="B22" s="11"/>
      <c r="E22" s="46"/>
      <c r="F22" s="46"/>
      <c r="G22" s="46"/>
      <c r="H22" s="46"/>
      <c r="I22" s="13"/>
      <c r="J22" s="13"/>
      <c r="K22" s="13"/>
    </row>
    <row r="23" spans="1:11" ht="30">
      <c r="A23" s="29" t="s">
        <v>261</v>
      </c>
      <c r="B23" s="12" t="s">
        <v>138</v>
      </c>
      <c r="C23" s="64">
        <f>'A-Capital'!C28</f>
        <v>20000000</v>
      </c>
      <c r="D23" s="4"/>
      <c r="E23" s="262" t="s">
        <v>62</v>
      </c>
      <c r="F23" s="263"/>
      <c r="G23" s="263"/>
      <c r="H23" s="264"/>
      <c r="I23" s="13"/>
      <c r="J23" s="13"/>
      <c r="K23" s="13"/>
    </row>
    <row r="24" spans="1:11" ht="30">
      <c r="A24" s="29" t="s">
        <v>256</v>
      </c>
      <c r="B24" s="67" t="s">
        <v>33</v>
      </c>
      <c r="C24" s="65">
        <f>'A-Capital'!C30</f>
        <v>17.159086353994443</v>
      </c>
      <c r="D24" s="4"/>
      <c r="E24" s="262" t="s">
        <v>69</v>
      </c>
      <c r="F24" s="263"/>
      <c r="G24" s="263"/>
      <c r="H24" s="264"/>
      <c r="I24" s="13"/>
      <c r="J24" s="13"/>
      <c r="K24" s="13"/>
    </row>
    <row r="25" spans="1:11">
      <c r="A25" s="29"/>
      <c r="B25" s="12"/>
      <c r="C25" s="67"/>
      <c r="D25" s="4"/>
      <c r="E25" s="16"/>
      <c r="F25" s="16"/>
      <c r="G25" s="16"/>
      <c r="H25" s="16"/>
      <c r="I25" s="13"/>
      <c r="J25" s="13"/>
      <c r="K25" s="13"/>
    </row>
    <row r="26" spans="1:11" ht="30">
      <c r="A26" s="29" t="s">
        <v>260</v>
      </c>
      <c r="B26" s="12" t="s">
        <v>139</v>
      </c>
      <c r="C26" s="64">
        <f>'A-Capital'!C37</f>
        <v>0</v>
      </c>
      <c r="D26" s="4"/>
      <c r="E26" s="262" t="s">
        <v>62</v>
      </c>
      <c r="F26" s="263"/>
      <c r="G26" s="263"/>
      <c r="H26" s="264"/>
      <c r="I26" s="13"/>
      <c r="J26" s="13"/>
      <c r="K26" s="13"/>
    </row>
    <row r="27" spans="1:11" ht="30">
      <c r="A27" s="29" t="s">
        <v>256</v>
      </c>
      <c r="B27" s="59" t="s">
        <v>125</v>
      </c>
      <c r="C27" s="61">
        <f>'A-Capital'!C39</f>
        <v>7.7217349291848123</v>
      </c>
      <c r="D27" s="4"/>
      <c r="E27" s="262" t="s">
        <v>69</v>
      </c>
      <c r="F27" s="263"/>
      <c r="G27" s="263"/>
      <c r="H27" s="264"/>
      <c r="I27" s="13"/>
      <c r="J27" s="13"/>
      <c r="K27" s="13"/>
    </row>
    <row r="28" spans="1:11" ht="30">
      <c r="A28" s="29" t="s">
        <v>259</v>
      </c>
      <c r="B28" s="12" t="s">
        <v>140</v>
      </c>
      <c r="C28" s="64">
        <f>'A-Capital'!C46</f>
        <v>0</v>
      </c>
      <c r="D28" s="4"/>
      <c r="E28" s="262" t="s">
        <v>62</v>
      </c>
      <c r="F28" s="263"/>
      <c r="G28" s="263"/>
      <c r="H28" s="264"/>
      <c r="I28" s="13"/>
      <c r="J28" s="13"/>
      <c r="K28" s="13"/>
    </row>
    <row r="29" spans="1:11" ht="30">
      <c r="A29" s="29" t="s">
        <v>256</v>
      </c>
      <c r="B29" s="59" t="s">
        <v>132</v>
      </c>
      <c r="C29" s="61">
        <f>'A-Capital'!C48</f>
        <v>7.7217349291848123</v>
      </c>
      <c r="D29" s="4"/>
      <c r="E29" s="262" t="s">
        <v>69</v>
      </c>
      <c r="F29" s="263"/>
      <c r="G29" s="263"/>
      <c r="H29" s="264"/>
      <c r="I29" s="13"/>
      <c r="J29" s="13"/>
      <c r="K29" s="13"/>
    </row>
    <row r="30" spans="1:11" ht="30">
      <c r="A30" s="29" t="s">
        <v>258</v>
      </c>
      <c r="B30" s="12" t="s">
        <v>141</v>
      </c>
      <c r="C30" s="64">
        <f>'A-Capital'!C55</f>
        <v>0</v>
      </c>
      <c r="D30" s="4"/>
      <c r="E30" s="262" t="s">
        <v>62</v>
      </c>
      <c r="F30" s="263"/>
      <c r="G30" s="263"/>
      <c r="H30" s="264"/>
      <c r="I30" s="13"/>
      <c r="J30" s="13"/>
      <c r="K30" s="13"/>
    </row>
    <row r="31" spans="1:11" ht="30">
      <c r="A31" s="29" t="s">
        <v>256</v>
      </c>
      <c r="B31" s="59" t="s">
        <v>133</v>
      </c>
      <c r="C31" s="61">
        <f>'A-Capital'!C57</f>
        <v>7.7217349291848123</v>
      </c>
      <c r="D31" s="4"/>
      <c r="E31" s="262" t="s">
        <v>69</v>
      </c>
      <c r="F31" s="263"/>
      <c r="G31" s="263"/>
      <c r="H31" s="264"/>
      <c r="I31" s="13"/>
      <c r="J31" s="13"/>
      <c r="K31" s="13"/>
    </row>
    <row r="32" spans="1:11">
      <c r="A32" s="29"/>
      <c r="B32" s="12"/>
      <c r="C32" s="60"/>
      <c r="D32" s="4"/>
      <c r="E32" s="16"/>
      <c r="F32" s="16"/>
      <c r="G32" s="16"/>
      <c r="H32" s="16"/>
      <c r="I32" s="13"/>
      <c r="J32" s="13"/>
      <c r="K32" s="13"/>
    </row>
    <row r="33" spans="1:11" ht="17.25">
      <c r="A33" s="29" t="s">
        <v>257</v>
      </c>
      <c r="B33" s="73" t="s">
        <v>142</v>
      </c>
      <c r="C33" s="63">
        <f>'B-Overhead'!C25</f>
        <v>1000000</v>
      </c>
      <c r="E33" s="262" t="str">
        <f>"These would be treated as annual costs, "&amp;B46&amp;" currency"</f>
        <v>These would be treated as annual costs, 2012 currency</v>
      </c>
      <c r="F33" s="263"/>
      <c r="G33" s="263"/>
      <c r="H33" s="264"/>
      <c r="I33" s="13"/>
      <c r="J33" s="13"/>
      <c r="K33" s="13"/>
    </row>
    <row r="34" spans="1:11">
      <c r="A34" s="29"/>
      <c r="B34" s="12"/>
      <c r="C34" s="42"/>
      <c r="E34" s="16"/>
      <c r="F34" s="16"/>
      <c r="G34" s="16"/>
      <c r="H34" s="16"/>
      <c r="I34" s="13"/>
      <c r="J34" s="13"/>
      <c r="K34" s="13"/>
    </row>
    <row r="35" spans="1:11" ht="30">
      <c r="A35" s="29" t="s">
        <v>262</v>
      </c>
      <c r="B35" s="73" t="s">
        <v>143</v>
      </c>
      <c r="C35" s="52">
        <f>'C-Operational'!C26</f>
        <v>4000000</v>
      </c>
      <c r="E35" s="262" t="s">
        <v>64</v>
      </c>
      <c r="F35" s="263"/>
      <c r="G35" s="263"/>
      <c r="H35" s="264"/>
      <c r="I35" s="17"/>
      <c r="J35" s="17"/>
      <c r="K35" s="17"/>
    </row>
    <row r="36" spans="1:11" s="43" customFormat="1">
      <c r="A36" s="70"/>
      <c r="B36" s="41"/>
      <c r="C36" s="44"/>
      <c r="E36" s="72"/>
      <c r="F36" s="72"/>
      <c r="G36" s="72"/>
      <c r="H36" s="72"/>
      <c r="I36" s="45"/>
      <c r="J36" s="45"/>
      <c r="K36" s="45"/>
    </row>
    <row r="37" spans="1:11" s="43" customFormat="1" ht="30">
      <c r="A37" s="29" t="s">
        <v>263</v>
      </c>
      <c r="B37" s="73" t="s">
        <v>149</v>
      </c>
      <c r="C37" s="66">
        <f>'D-Decommissioning'!C19</f>
        <v>1000000</v>
      </c>
      <c r="E37" s="262" t="s">
        <v>63</v>
      </c>
      <c r="F37" s="263"/>
      <c r="G37" s="263"/>
      <c r="H37" s="264"/>
      <c r="I37" s="45"/>
      <c r="J37" s="45"/>
      <c r="K37" s="45"/>
    </row>
    <row r="38" spans="1:11" s="43" customFormat="1" ht="17.25">
      <c r="A38" s="29" t="s">
        <v>264</v>
      </c>
      <c r="B38" s="73" t="s">
        <v>144</v>
      </c>
      <c r="C38" s="66">
        <f>C37/(1+C17)^C15</f>
        <v>142045.68230027784</v>
      </c>
      <c r="E38" s="262" t="s">
        <v>70</v>
      </c>
      <c r="F38" s="263"/>
      <c r="G38" s="263"/>
      <c r="H38" s="264"/>
      <c r="I38" s="45"/>
      <c r="J38" s="45"/>
      <c r="K38" s="45"/>
    </row>
    <row r="39" spans="1:11" s="43" customFormat="1" ht="18">
      <c r="A39" s="29" t="s">
        <v>265</v>
      </c>
      <c r="B39" s="12" t="s">
        <v>134</v>
      </c>
      <c r="C39" s="62">
        <f>'D-Decommissioning'!C21</f>
        <v>5.8764624195990892E-2</v>
      </c>
      <c r="E39" s="262" t="s">
        <v>70</v>
      </c>
      <c r="F39" s="263"/>
      <c r="G39" s="263"/>
      <c r="H39" s="264"/>
      <c r="I39" s="45"/>
      <c r="J39" s="45"/>
      <c r="K39" s="45"/>
    </row>
    <row r="40" spans="1:11" s="43" customFormat="1">
      <c r="A40" s="70"/>
      <c r="B40" s="41"/>
      <c r="C40" s="44"/>
      <c r="E40" s="72"/>
      <c r="F40" s="72"/>
      <c r="G40" s="72"/>
      <c r="H40" s="72"/>
      <c r="I40" s="45"/>
      <c r="J40" s="45"/>
      <c r="K40" s="45"/>
    </row>
    <row r="41" spans="1:11" ht="15.75" thickBot="1">
      <c r="A41" s="4"/>
      <c r="B41" s="11"/>
    </row>
    <row r="42" spans="1:11" ht="15" customHeight="1">
      <c r="B42" s="301" t="s">
        <v>156</v>
      </c>
      <c r="C42" s="302"/>
      <c r="D42" s="302"/>
      <c r="E42" s="302"/>
      <c r="F42" s="302"/>
      <c r="G42" s="303"/>
      <c r="H42" s="39"/>
      <c r="I42" s="24"/>
    </row>
    <row r="43" spans="1:11">
      <c r="B43" s="101" t="s">
        <v>68</v>
      </c>
      <c r="C43" s="102" t="s">
        <v>136</v>
      </c>
      <c r="D43" s="102" t="s">
        <v>66</v>
      </c>
      <c r="E43" s="102" t="str">
        <f>"Costs ("&amp;B46&amp;" €)"</f>
        <v>Costs (2012 €)</v>
      </c>
      <c r="F43" s="102" t="s">
        <v>67</v>
      </c>
      <c r="G43" s="103" t="s">
        <v>43</v>
      </c>
      <c r="H43" s="27"/>
      <c r="I43" s="27"/>
    </row>
    <row r="44" spans="1:11">
      <c r="B44" s="78" t="s">
        <v>3</v>
      </c>
      <c r="C44" s="79"/>
      <c r="D44" s="81"/>
      <c r="E44" s="81"/>
      <c r="F44" s="81">
        <f>SUM(F47:F86)</f>
        <v>195164393.73082069</v>
      </c>
      <c r="G44" s="82"/>
      <c r="H44" s="22"/>
      <c r="I44" s="22"/>
    </row>
    <row r="45" spans="1:11">
      <c r="B45" s="83"/>
      <c r="C45" s="84"/>
      <c r="D45" s="84"/>
      <c r="E45" s="84"/>
      <c r="F45" s="84"/>
      <c r="G45" s="85"/>
      <c r="H45" s="21"/>
      <c r="I45" s="22"/>
    </row>
    <row r="46" spans="1:11">
      <c r="B46" s="86">
        <f>'Input Information'!G18</f>
        <v>2012</v>
      </c>
      <c r="C46" s="87">
        <v>0</v>
      </c>
      <c r="D46" s="88"/>
      <c r="E46" s="88"/>
      <c r="F46" s="88"/>
      <c r="G46" s="89"/>
      <c r="H46" s="21"/>
      <c r="I46" s="1"/>
    </row>
    <row r="47" spans="1:11">
      <c r="B47" s="86">
        <f t="shared" ref="B47:C62" si="0">B46+1</f>
        <v>2013</v>
      </c>
      <c r="C47" s="87">
        <f t="shared" si="0"/>
        <v>1</v>
      </c>
      <c r="D47" s="90">
        <f t="shared" ref="D47:D86" si="1">($C$8*((1+$C$18)^C47))+(($C$23/$C$24)*$C$16)+(($C$26/$C$27)*$C$16)+($C$38*$C$39)+($C$33*((1+$C$18)^C47))+($C$35*((1+$C$18)^C47))</f>
        <v>8823910.4844597392</v>
      </c>
      <c r="E47" s="88">
        <f t="shared" ref="E47:E86" si="2">D47/((1+$C$18)^(C47))</f>
        <v>8650892.6318232734</v>
      </c>
      <c r="F47" s="88">
        <f t="shared" ref="F47:F86" si="3">E47/((1+$C$19)^(C47))</f>
        <v>8403724.2709140368</v>
      </c>
      <c r="G47" s="89"/>
      <c r="H47" s="1"/>
      <c r="I47" s="23"/>
    </row>
    <row r="48" spans="1:11">
      <c r="B48" s="86">
        <f t="shared" si="0"/>
        <v>2014</v>
      </c>
      <c r="C48" s="87">
        <f t="shared" si="0"/>
        <v>2</v>
      </c>
      <c r="D48" s="90">
        <f t="shared" si="1"/>
        <v>8976910.4844597392</v>
      </c>
      <c r="E48" s="88">
        <f t="shared" si="2"/>
        <v>8628326.1096306611</v>
      </c>
      <c r="F48" s="88">
        <f t="shared" si="3"/>
        <v>8142322.4348841161</v>
      </c>
      <c r="G48" s="89"/>
      <c r="H48" s="1"/>
      <c r="I48" s="23"/>
    </row>
    <row r="49" spans="2:9">
      <c r="B49" s="86">
        <f t="shared" si="0"/>
        <v>2015</v>
      </c>
      <c r="C49" s="87">
        <f t="shared" si="0"/>
        <v>3</v>
      </c>
      <c r="D49" s="90">
        <f t="shared" si="1"/>
        <v>9132970.4844597392</v>
      </c>
      <c r="E49" s="88">
        <f t="shared" si="2"/>
        <v>8606202.0682653543</v>
      </c>
      <c r="F49" s="88">
        <f t="shared" si="3"/>
        <v>7889403.2907545511</v>
      </c>
      <c r="G49" s="89"/>
      <c r="H49" s="1"/>
      <c r="I49" s="23"/>
    </row>
    <row r="50" spans="2:9">
      <c r="B50" s="86">
        <f t="shared" si="0"/>
        <v>2016</v>
      </c>
      <c r="C50" s="87">
        <f t="shared" si="0"/>
        <v>4</v>
      </c>
      <c r="D50" s="90">
        <f t="shared" si="1"/>
        <v>9292151.6844597384</v>
      </c>
      <c r="E50" s="88">
        <f t="shared" si="2"/>
        <v>8584511.8316326998</v>
      </c>
      <c r="F50" s="88">
        <f t="shared" si="3"/>
        <v>7644676.1869465793</v>
      </c>
      <c r="G50" s="89"/>
      <c r="H50" s="1"/>
      <c r="I50" s="23"/>
    </row>
    <row r="51" spans="2:9">
      <c r="B51" s="86">
        <f t="shared" si="0"/>
        <v>2017</v>
      </c>
      <c r="C51" s="87">
        <f t="shared" si="0"/>
        <v>5</v>
      </c>
      <c r="D51" s="90">
        <f t="shared" si="1"/>
        <v>9454516.5084597394</v>
      </c>
      <c r="E51" s="88">
        <f t="shared" si="2"/>
        <v>8563246.8937575482</v>
      </c>
      <c r="F51" s="88">
        <f t="shared" si="3"/>
        <v>7407861.0756862164</v>
      </c>
      <c r="G51" s="89"/>
      <c r="H51" s="1"/>
      <c r="I51" s="23"/>
    </row>
    <row r="52" spans="2:9">
      <c r="B52" s="86">
        <f t="shared" si="0"/>
        <v>2018</v>
      </c>
      <c r="C52" s="87">
        <f t="shared" si="0"/>
        <v>6</v>
      </c>
      <c r="D52" s="90">
        <f t="shared" si="1"/>
        <v>9620128.6289397404</v>
      </c>
      <c r="E52" s="88">
        <f t="shared" si="2"/>
        <v>8542398.9154485781</v>
      </c>
      <c r="F52" s="88">
        <f t="shared" si="3"/>
        <v>7178688.1005396415</v>
      </c>
      <c r="G52" s="89"/>
      <c r="H52" s="1"/>
      <c r="I52" s="23"/>
    </row>
    <row r="53" spans="2:9">
      <c r="B53" s="86">
        <f t="shared" si="0"/>
        <v>2019</v>
      </c>
      <c r="C53" s="87">
        <f t="shared" si="0"/>
        <v>7</v>
      </c>
      <c r="D53" s="90">
        <f t="shared" si="1"/>
        <v>9789052.9918293376</v>
      </c>
      <c r="E53" s="88">
        <f t="shared" si="2"/>
        <v>8521959.7210280169</v>
      </c>
      <c r="F53" s="88">
        <f t="shared" si="3"/>
        <v>6956897.2009475166</v>
      </c>
      <c r="G53" s="89"/>
      <c r="H53" s="1"/>
      <c r="I53" s="23"/>
    </row>
    <row r="54" spans="2:9">
      <c r="B54" s="86">
        <f t="shared" si="0"/>
        <v>2020</v>
      </c>
      <c r="C54" s="87">
        <f t="shared" si="0"/>
        <v>8</v>
      </c>
      <c r="D54" s="90">
        <f t="shared" si="1"/>
        <v>9961355.8419767302</v>
      </c>
      <c r="E54" s="88">
        <f t="shared" si="2"/>
        <v>8501921.2951255068</v>
      </c>
      <c r="F54" s="88">
        <f t="shared" si="3"/>
        <v>6742237.7330242619</v>
      </c>
      <c r="G54" s="89"/>
      <c r="H54" s="1"/>
      <c r="I54" s="23"/>
    </row>
    <row r="55" spans="2:9">
      <c r="B55" s="86">
        <f t="shared" si="0"/>
        <v>2021</v>
      </c>
      <c r="C55" s="87">
        <f t="shared" si="0"/>
        <v>9</v>
      </c>
      <c r="D55" s="90">
        <f t="shared" si="1"/>
        <v>10137104.749127071</v>
      </c>
      <c r="E55" s="88">
        <f t="shared" si="2"/>
        <v>8482275.7795348112</v>
      </c>
      <c r="F55" s="88">
        <f t="shared" si="3"/>
        <v>6534468.1059210831</v>
      </c>
      <c r="G55" s="89"/>
      <c r="H55" s="1"/>
      <c r="I55" s="23"/>
    </row>
    <row r="56" spans="2:9">
      <c r="B56" s="86">
        <f t="shared" si="0"/>
        <v>2022</v>
      </c>
      <c r="C56" s="87">
        <f t="shared" si="0"/>
        <v>10</v>
      </c>
      <c r="D56" s="90">
        <f t="shared" si="1"/>
        <v>10316368.634420417</v>
      </c>
      <c r="E56" s="88">
        <f t="shared" si="2"/>
        <v>8463015.4701321665</v>
      </c>
      <c r="F56" s="88">
        <f t="shared" si="3"/>
        <v>6333355.433082873</v>
      </c>
      <c r="G56" s="96"/>
      <c r="H56" s="1"/>
      <c r="I56" s="23"/>
    </row>
    <row r="57" spans="2:9">
      <c r="B57" s="86">
        <f t="shared" si="0"/>
        <v>2023</v>
      </c>
      <c r="C57" s="87">
        <f t="shared" si="0"/>
        <v>11</v>
      </c>
      <c r="D57" s="90">
        <f t="shared" si="1"/>
        <v>10499217.79741963</v>
      </c>
      <c r="E57" s="88">
        <f t="shared" si="2"/>
        <v>8444132.8138550669</v>
      </c>
      <c r="F57" s="88">
        <f t="shared" si="3"/>
        <v>6138675.1977589764</v>
      </c>
      <c r="G57" s="89"/>
      <c r="H57" s="1"/>
      <c r="I57" s="23"/>
    </row>
    <row r="58" spans="2:9">
      <c r="B58" s="86">
        <f t="shared" si="0"/>
        <v>2024</v>
      </c>
      <c r="C58" s="87">
        <f t="shared" si="0"/>
        <v>12</v>
      </c>
      <c r="D58" s="90">
        <f t="shared" si="1"/>
        <v>10685723.94367883</v>
      </c>
      <c r="E58" s="88">
        <f t="shared" si="2"/>
        <v>8425620.4057402611</v>
      </c>
      <c r="F58" s="88">
        <f t="shared" si="3"/>
        <v>5950210.9321562424</v>
      </c>
      <c r="G58" s="89"/>
      <c r="H58" s="1"/>
      <c r="I58" s="23"/>
    </row>
    <row r="59" spans="2:9">
      <c r="B59" s="86">
        <f t="shared" si="0"/>
        <v>2025</v>
      </c>
      <c r="C59" s="87">
        <f t="shared" si="0"/>
        <v>13</v>
      </c>
      <c r="D59" s="90">
        <f t="shared" si="1"/>
        <v>10875960.212863211</v>
      </c>
      <c r="E59" s="88">
        <f t="shared" si="2"/>
        <v>8407470.9860198647</v>
      </c>
      <c r="F59" s="88">
        <f t="shared" si="3"/>
        <v>5767753.9096500995</v>
      </c>
      <c r="G59" s="89"/>
      <c r="H59" s="1"/>
      <c r="I59" s="23"/>
    </row>
    <row r="60" spans="2:9">
      <c r="B60" s="86">
        <f t="shared" si="0"/>
        <v>2026</v>
      </c>
      <c r="C60" s="87">
        <f t="shared" si="0"/>
        <v>14</v>
      </c>
      <c r="D60" s="90">
        <f t="shared" si="1"/>
        <v>11070001.207431279</v>
      </c>
      <c r="E60" s="88">
        <f t="shared" si="2"/>
        <v>8389677.4372743741</v>
      </c>
      <c r="F60" s="88">
        <f t="shared" si="3"/>
        <v>5591102.8494952302</v>
      </c>
      <c r="G60" s="89"/>
      <c r="H60" s="1"/>
      <c r="I60" s="23"/>
    </row>
    <row r="61" spans="2:9">
      <c r="B61" s="86">
        <f t="shared" si="0"/>
        <v>2027</v>
      </c>
      <c r="C61" s="87">
        <f t="shared" si="0"/>
        <v>15</v>
      </c>
      <c r="D61" s="90">
        <f t="shared" si="1"/>
        <v>11267923.021890707</v>
      </c>
      <c r="E61" s="88">
        <f t="shared" si="2"/>
        <v>8372232.7816415438</v>
      </c>
      <c r="F61" s="88">
        <f t="shared" si="3"/>
        <v>5420063.633502299</v>
      </c>
      <c r="G61" s="89"/>
      <c r="H61" s="1"/>
      <c r="I61" s="23"/>
    </row>
    <row r="62" spans="2:9">
      <c r="B62" s="86">
        <f t="shared" si="0"/>
        <v>2028</v>
      </c>
      <c r="C62" s="87">
        <f t="shared" si="0"/>
        <v>16</v>
      </c>
      <c r="D62" s="90">
        <f t="shared" si="1"/>
        <v>11469803.272639329</v>
      </c>
      <c r="E62" s="88">
        <f t="shared" si="2"/>
        <v>8355130.178079945</v>
      </c>
      <c r="F62" s="88">
        <f t="shared" si="3"/>
        <v>5254449.0341707403</v>
      </c>
      <c r="G62" s="89"/>
      <c r="H62" s="1"/>
      <c r="I62" s="23"/>
    </row>
    <row r="63" spans="2:9">
      <c r="B63" s="86">
        <f t="shared" ref="B63:C78" si="4">B62+1</f>
        <v>2029</v>
      </c>
      <c r="C63" s="87">
        <f t="shared" si="4"/>
        <v>17</v>
      </c>
      <c r="D63" s="90">
        <f t="shared" si="1"/>
        <v>11675721.128402922</v>
      </c>
      <c r="E63" s="88">
        <f t="shared" si="2"/>
        <v>8338362.9196862215</v>
      </c>
      <c r="F63" s="88">
        <f t="shared" si="3"/>
        <v>5094078.4537902903</v>
      </c>
      <c r="G63" s="89"/>
      <c r="H63" s="1"/>
      <c r="I63" s="23"/>
    </row>
    <row r="64" spans="2:9">
      <c r="B64" s="86">
        <f t="shared" si="4"/>
        <v>2030</v>
      </c>
      <c r="C64" s="87">
        <f t="shared" si="4"/>
        <v>18</v>
      </c>
      <c r="D64" s="90">
        <f t="shared" si="1"/>
        <v>11885757.341281785</v>
      </c>
      <c r="E64" s="88">
        <f t="shared" si="2"/>
        <v>8321924.4310649233</v>
      </c>
      <c r="F64" s="88">
        <f t="shared" si="3"/>
        <v>4938777.674045397</v>
      </c>
      <c r="G64" s="89"/>
      <c r="H64" s="1"/>
      <c r="I64" s="23"/>
    </row>
    <row r="65" spans="2:9">
      <c r="B65" s="86">
        <f t="shared" si="4"/>
        <v>2031</v>
      </c>
      <c r="C65" s="87">
        <f t="shared" si="4"/>
        <v>19</v>
      </c>
      <c r="D65" s="90">
        <f t="shared" si="1"/>
        <v>12099994.278418224</v>
      </c>
      <c r="E65" s="88">
        <f t="shared" si="2"/>
        <v>8305808.2657499239</v>
      </c>
      <c r="F65" s="88">
        <f t="shared" si="3"/>
        <v>4788378.6156772701</v>
      </c>
      <c r="G65" s="89"/>
      <c r="H65" s="1"/>
      <c r="I65" s="23"/>
    </row>
    <row r="66" spans="2:9">
      <c r="B66" s="86">
        <f t="shared" si="4"/>
        <v>2032</v>
      </c>
      <c r="C66" s="87">
        <f t="shared" si="4"/>
        <v>20</v>
      </c>
      <c r="D66" s="90">
        <f t="shared" si="1"/>
        <v>12318515.954297395</v>
      </c>
      <c r="E66" s="88">
        <f t="shared" si="2"/>
        <v>8290008.1036763964</v>
      </c>
      <c r="F66" s="88">
        <f t="shared" si="3"/>
        <v>4642719.1077779457</v>
      </c>
      <c r="G66" s="89"/>
      <c r="H66" s="1"/>
      <c r="I66" s="23"/>
    </row>
    <row r="67" spans="2:9">
      <c r="B67" s="86">
        <f t="shared" si="4"/>
        <v>2033</v>
      </c>
      <c r="C67" s="87">
        <f t="shared" si="4"/>
        <v>21</v>
      </c>
      <c r="D67" s="90">
        <f t="shared" si="1"/>
        <v>12541408.063694149</v>
      </c>
      <c r="E67" s="88">
        <f t="shared" si="2"/>
        <v>8274517.7487023501</v>
      </c>
      <c r="F67" s="88">
        <f t="shared" si="3"/>
        <v>4501642.6663094861</v>
      </c>
      <c r="G67" s="89"/>
      <c r="H67" s="1"/>
      <c r="I67" s="23"/>
    </row>
    <row r="68" spans="2:9">
      <c r="B68" s="86">
        <f t="shared" si="4"/>
        <v>2034</v>
      </c>
      <c r="C68" s="87">
        <f t="shared" si="4"/>
        <v>22</v>
      </c>
      <c r="D68" s="90">
        <f t="shared" si="1"/>
        <v>12768758.015278837</v>
      </c>
      <c r="E68" s="88">
        <f t="shared" si="2"/>
        <v>8259331.1261787741</v>
      </c>
      <c r="F68" s="88">
        <f t="shared" si="3"/>
        <v>4364998.2814593334</v>
      </c>
      <c r="G68" s="89"/>
      <c r="H68" s="1"/>
      <c r="I68" s="23"/>
    </row>
    <row r="69" spans="2:9">
      <c r="B69" s="86">
        <f t="shared" si="4"/>
        <v>2035</v>
      </c>
      <c r="C69" s="87">
        <f t="shared" si="4"/>
        <v>23</v>
      </c>
      <c r="D69" s="90">
        <f t="shared" si="1"/>
        <v>13000654.965895217</v>
      </c>
      <c r="E69" s="88">
        <f t="shared" si="2"/>
        <v>8244442.2805674253</v>
      </c>
      <c r="F69" s="88">
        <f t="shared" si="3"/>
        <v>4232640.2134599267</v>
      </c>
      <c r="G69" s="89"/>
      <c r="H69" s="1"/>
      <c r="I69" s="23"/>
    </row>
    <row r="70" spans="2:9">
      <c r="B70" s="86">
        <f t="shared" si="4"/>
        <v>2036</v>
      </c>
      <c r="C70" s="87">
        <f t="shared" si="4"/>
        <v>24</v>
      </c>
      <c r="D70" s="90">
        <f t="shared" si="1"/>
        <v>13237189.855523927</v>
      </c>
      <c r="E70" s="88">
        <f t="shared" si="2"/>
        <v>8229845.3731053192</v>
      </c>
      <c r="F70" s="88">
        <f t="shared" si="3"/>
        <v>4104427.7965169931</v>
      </c>
      <c r="G70" s="89"/>
      <c r="H70" s="1"/>
      <c r="I70" s="23"/>
    </row>
    <row r="71" spans="2:9">
      <c r="B71" s="86">
        <f t="shared" si="4"/>
        <v>2037</v>
      </c>
      <c r="C71" s="87">
        <f t="shared" si="4"/>
        <v>25</v>
      </c>
      <c r="D71" s="90">
        <f t="shared" si="1"/>
        <v>13478455.44294521</v>
      </c>
      <c r="E71" s="88">
        <f t="shared" si="2"/>
        <v>8215534.6795150191</v>
      </c>
      <c r="F71" s="88">
        <f t="shared" si="3"/>
        <v>3980225.2505065012</v>
      </c>
      <c r="G71" s="89"/>
      <c r="H71" s="1"/>
      <c r="I71" s="23"/>
    </row>
    <row r="72" spans="2:9">
      <c r="B72" s="86">
        <f t="shared" si="4"/>
        <v>2038</v>
      </c>
      <c r="C72" s="87">
        <f t="shared" si="4"/>
        <v>26</v>
      </c>
      <c r="D72" s="90">
        <f t="shared" si="1"/>
        <v>13724546.342114922</v>
      </c>
      <c r="E72" s="88">
        <f t="shared" si="2"/>
        <v>8201504.5877598226</v>
      </c>
      <c r="F72" s="88">
        <f t="shared" si="3"/>
        <v>3859901.5001151529</v>
      </c>
      <c r="G72" s="89"/>
      <c r="H72" s="1"/>
      <c r="I72" s="23"/>
    </row>
    <row r="73" spans="2:9">
      <c r="B73" s="86">
        <f t="shared" si="4"/>
        <v>2039</v>
      </c>
      <c r="C73" s="87">
        <f t="shared" si="4"/>
        <v>27</v>
      </c>
      <c r="D73" s="90">
        <f t="shared" si="1"/>
        <v>13975559.059268024</v>
      </c>
      <c r="E73" s="88">
        <f t="shared" si="2"/>
        <v>8187749.595842964</v>
      </c>
      <c r="F73" s="88">
        <f t="shared" si="3"/>
        <v>3743330.0011134772</v>
      </c>
      <c r="G73" s="89"/>
      <c r="H73" s="1"/>
      <c r="I73" s="23"/>
    </row>
    <row r="74" spans="2:9">
      <c r="B74" s="86">
        <f t="shared" si="4"/>
        <v>2040</v>
      </c>
      <c r="C74" s="87">
        <f t="shared" si="4"/>
        <v>28</v>
      </c>
      <c r="D74" s="90">
        <f t="shared" si="1"/>
        <v>14231592.030764192</v>
      </c>
      <c r="E74" s="88">
        <f t="shared" si="2"/>
        <v>8174264.3096499648</v>
      </c>
      <c r="F74" s="88">
        <f t="shared" si="3"/>
        <v>3630388.5734641529</v>
      </c>
      <c r="G74" s="89"/>
      <c r="H74" s="1"/>
      <c r="I74" s="23"/>
    </row>
    <row r="75" spans="2:9">
      <c r="B75" s="86">
        <f t="shared" si="4"/>
        <v>2041</v>
      </c>
      <c r="C75" s="87">
        <f t="shared" si="4"/>
        <v>29</v>
      </c>
      <c r="D75" s="90">
        <f t="shared" si="1"/>
        <v>14492745.661690278</v>
      </c>
      <c r="E75" s="88">
        <f t="shared" si="2"/>
        <v>8161043.4408332976</v>
      </c>
      <c r="F75" s="88">
        <f t="shared" si="3"/>
        <v>3520959.2409811527</v>
      </c>
      <c r="G75" s="89"/>
      <c r="H75" s="1"/>
      <c r="I75" s="23"/>
    </row>
    <row r="76" spans="2:9">
      <c r="B76" s="86">
        <f t="shared" si="4"/>
        <v>2042</v>
      </c>
      <c r="C76" s="87">
        <f t="shared" si="4"/>
        <v>30</v>
      </c>
      <c r="D76" s="90">
        <f t="shared" si="1"/>
        <v>14759122.365234889</v>
      </c>
      <c r="E76" s="88">
        <f t="shared" si="2"/>
        <v>8148081.8047385272</v>
      </c>
      <c r="F76" s="88">
        <f t="shared" si="3"/>
        <v>3414928.0772676547</v>
      </c>
      <c r="G76" s="89"/>
      <c r="H76" s="1"/>
      <c r="I76" s="23"/>
    </row>
    <row r="77" spans="2:9">
      <c r="B77" s="86">
        <f t="shared" si="4"/>
        <v>2043</v>
      </c>
      <c r="C77" s="87">
        <f t="shared" si="4"/>
        <v>31</v>
      </c>
      <c r="D77" s="90">
        <f t="shared" si="1"/>
        <v>15030826.602850389</v>
      </c>
      <c r="E77" s="88">
        <f t="shared" si="2"/>
        <v>8135374.318371105</v>
      </c>
      <c r="F77" s="88">
        <f t="shared" si="3"/>
        <v>3312185.0576724904</v>
      </c>
      <c r="G77" s="89"/>
      <c r="H77" s="1"/>
      <c r="I77" s="23"/>
    </row>
    <row r="78" spans="2:9">
      <c r="B78" s="86">
        <f t="shared" si="4"/>
        <v>2044</v>
      </c>
      <c r="C78" s="87">
        <f t="shared" si="4"/>
        <v>32</v>
      </c>
      <c r="D78" s="90">
        <f t="shared" si="1"/>
        <v>15307964.925218206</v>
      </c>
      <c r="E78" s="88">
        <f t="shared" si="2"/>
        <v>8122915.9984030444</v>
      </c>
      <c r="F78" s="88">
        <f t="shared" si="3"/>
        <v>3212623.9170161849</v>
      </c>
      <c r="G78" s="89"/>
      <c r="H78" s="1"/>
      <c r="I78" s="23"/>
    </row>
    <row r="79" spans="2:9">
      <c r="B79" s="86">
        <f t="shared" ref="B79:C86" si="5">B78+1</f>
        <v>2045</v>
      </c>
      <c r="C79" s="87">
        <f t="shared" si="5"/>
        <v>33</v>
      </c>
      <c r="D79" s="90">
        <f t="shared" si="1"/>
        <v>15590646.014033377</v>
      </c>
      <c r="E79" s="88">
        <f t="shared" si="2"/>
        <v>8110701.9592186715</v>
      </c>
      <c r="F79" s="88">
        <f t="shared" si="3"/>
        <v>3116142.0128484243</v>
      </c>
      <c r="G79" s="89"/>
      <c r="H79" s="1"/>
      <c r="I79" s="23"/>
    </row>
    <row r="80" spans="2:9">
      <c r="B80" s="86">
        <f t="shared" si="5"/>
        <v>2046</v>
      </c>
      <c r="C80" s="87">
        <f t="shared" si="5"/>
        <v>34</v>
      </c>
      <c r="D80" s="90">
        <f t="shared" si="1"/>
        <v>15878980.724624848</v>
      </c>
      <c r="E80" s="88">
        <f t="shared" si="2"/>
        <v>8098727.4109986974</v>
      </c>
      <c r="F80" s="88">
        <f t="shared" si="3"/>
        <v>3022640.1940090698</v>
      </c>
      <c r="G80" s="89"/>
      <c r="H80" s="1"/>
      <c r="I80" s="23"/>
    </row>
    <row r="81" spans="2:9">
      <c r="B81" s="86">
        <f t="shared" si="5"/>
        <v>2047</v>
      </c>
      <c r="C81" s="87">
        <f t="shared" si="5"/>
        <v>35</v>
      </c>
      <c r="D81" s="90">
        <f t="shared" si="1"/>
        <v>16173082.129428148</v>
      </c>
      <c r="E81" s="88">
        <f t="shared" si="2"/>
        <v>8086987.6578418594</v>
      </c>
      <c r="F81" s="88">
        <f t="shared" si="3"/>
        <v>2932022.6742746886</v>
      </c>
      <c r="G81" s="89"/>
      <c r="H81" s="1"/>
      <c r="I81" s="23"/>
    </row>
    <row r="82" spans="2:9">
      <c r="B82" s="86">
        <f t="shared" si="5"/>
        <v>2048</v>
      </c>
      <c r="C82" s="87">
        <f t="shared" si="5"/>
        <v>36</v>
      </c>
      <c r="D82" s="90">
        <f t="shared" si="1"/>
        <v>16473065.562327517</v>
      </c>
      <c r="E82" s="88">
        <f t="shared" si="2"/>
        <v>8075478.0959233921</v>
      </c>
      <c r="F82" s="88">
        <f t="shared" si="3"/>
        <v>2844196.9108819622</v>
      </c>
      <c r="G82" s="89"/>
      <c r="H82" s="1"/>
      <c r="I82" s="23"/>
    </row>
    <row r="83" spans="2:9">
      <c r="B83" s="86">
        <f t="shared" si="5"/>
        <v>2049</v>
      </c>
      <c r="C83" s="87">
        <f t="shared" si="5"/>
        <v>37</v>
      </c>
      <c r="D83" s="90">
        <f t="shared" si="1"/>
        <v>16779048.663884874</v>
      </c>
      <c r="E83" s="88">
        <f t="shared" si="2"/>
        <v>8064194.2116895998</v>
      </c>
      <c r="F83" s="88">
        <f t="shared" si="3"/>
        <v>2759073.487728308</v>
      </c>
      <c r="G83" s="89"/>
      <c r="H83" s="1"/>
      <c r="I83" s="23"/>
    </row>
    <row r="84" spans="2:9">
      <c r="B84" s="86">
        <f t="shared" si="5"/>
        <v>2050</v>
      </c>
      <c r="C84" s="87">
        <f t="shared" si="5"/>
        <v>38</v>
      </c>
      <c r="D84" s="90">
        <f t="shared" si="1"/>
        <v>17091151.427473377</v>
      </c>
      <c r="E84" s="88">
        <f t="shared" si="2"/>
        <v>8053131.5800878424</v>
      </c>
      <c r="F84" s="88">
        <f t="shared" si="3"/>
        <v>2676566.00305863</v>
      </c>
      <c r="G84" s="89"/>
      <c r="H84" s="1"/>
      <c r="I84" s="23"/>
    </row>
    <row r="85" spans="2:9">
      <c r="B85" s="86">
        <f t="shared" si="5"/>
        <v>2051</v>
      </c>
      <c r="C85" s="87">
        <f t="shared" si="5"/>
        <v>39</v>
      </c>
      <c r="D85" s="90">
        <f t="shared" si="1"/>
        <v>17409496.246333644</v>
      </c>
      <c r="E85" s="88">
        <f t="shared" si="2"/>
        <v>8042285.8628312182</v>
      </c>
      <c r="F85" s="88">
        <f t="shared" si="3"/>
        <v>2596590.9614553107</v>
      </c>
      <c r="G85" s="89"/>
      <c r="H85" s="1"/>
      <c r="I85" s="23"/>
    </row>
    <row r="86" spans="2:9" ht="15.75" thickBot="1">
      <c r="B86" s="51">
        <f t="shared" si="5"/>
        <v>2052</v>
      </c>
      <c r="C86" s="92">
        <f t="shared" si="5"/>
        <v>40</v>
      </c>
      <c r="D86" s="93">
        <f t="shared" si="1"/>
        <v>17734207.961571127</v>
      </c>
      <c r="E86" s="94">
        <f t="shared" si="2"/>
        <v>8031652.8066972727</v>
      </c>
      <c r="F86" s="94">
        <f t="shared" si="3"/>
        <v>2519067.6699563824</v>
      </c>
      <c r="G86" s="97"/>
      <c r="H86" s="1"/>
      <c r="I86" s="23"/>
    </row>
    <row r="87" spans="2:9">
      <c r="B87" s="34"/>
      <c r="C87" s="34"/>
      <c r="D87" s="35"/>
      <c r="E87" s="36"/>
      <c r="F87" s="36"/>
      <c r="G87" s="30"/>
      <c r="H87" s="30"/>
    </row>
  </sheetData>
  <sheetProtection password="C907" sheet="1" objects="1" scenarios="1"/>
  <mergeCells count="18">
    <mergeCell ref="E39:H39"/>
    <mergeCell ref="B42:G42"/>
    <mergeCell ref="E7:H7"/>
    <mergeCell ref="E15:H15"/>
    <mergeCell ref="E37:H37"/>
    <mergeCell ref="E33:H33"/>
    <mergeCell ref="E28:H28"/>
    <mergeCell ref="E29:H29"/>
    <mergeCell ref="E30:H30"/>
    <mergeCell ref="E31:H31"/>
    <mergeCell ref="E35:H35"/>
    <mergeCell ref="E23:H23"/>
    <mergeCell ref="E26:H26"/>
    <mergeCell ref="E24:H24"/>
    <mergeCell ref="E8:H14"/>
    <mergeCell ref="A3:F5"/>
    <mergeCell ref="E27:H27"/>
    <mergeCell ref="E38:H38"/>
  </mergeCells>
  <pageMargins left="0.70866141732283472" right="0.70866141732283472" top="0.74803149606299213" bottom="0.74803149606299213" header="0.31496062992125984" footer="0.31496062992125984"/>
  <pageSetup paperSize="9" scale="5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Input Information</vt:lpstr>
      <vt:lpstr>Total Results</vt:lpstr>
      <vt:lpstr>A-Capital</vt:lpstr>
      <vt:lpstr>B-Overhead</vt:lpstr>
      <vt:lpstr>C-Operational</vt:lpstr>
      <vt:lpstr>Neutron Utilisation-C</vt:lpstr>
      <vt:lpstr>D-Decommissioning</vt:lpstr>
      <vt:lpstr>E-99Mo Specific</vt:lpstr>
    </vt:vector>
  </TitlesOfParts>
  <Company>OECD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Westmacott_C</dc:creator>
  <cp:lastModifiedBy>Westmacott_C</cp:lastModifiedBy>
  <cp:lastPrinted>2011-11-04T15:42:25Z</cp:lastPrinted>
  <dcterms:created xsi:type="dcterms:W3CDTF">2011-09-28T09:14:14Z</dcterms:created>
  <dcterms:modified xsi:type="dcterms:W3CDTF">2012-02-24T10:30:32Z</dcterms:modified>
</cp:coreProperties>
</file>